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all/Desktop/"/>
    </mc:Choice>
  </mc:AlternateContent>
  <xr:revisionPtr revIDLastSave="0" documentId="13_ncr:1_{D3B77D79-581C-6447-B77F-9AA3560D33BE}" xr6:coauthVersionLast="47" xr6:coauthVersionMax="47" xr10:uidLastSave="{00000000-0000-0000-0000-000000000000}"/>
  <bookViews>
    <workbookView xWindow="0" yWindow="500" windowWidth="25600" windowHeight="14480" xr2:uid="{00000000-000D-0000-FFFF-FFFF00000000}"/>
  </bookViews>
  <sheets>
    <sheet name="leden" sheetId="1" r:id="rId1"/>
    <sheet name="únor" sheetId="4" r:id="rId2"/>
    <sheet name="březen" sheetId="5" r:id="rId3"/>
    <sheet name="duben" sheetId="6" r:id="rId4"/>
    <sheet name="květen" sheetId="7" r:id="rId5"/>
    <sheet name="červen" sheetId="8" r:id="rId6"/>
    <sheet name="červenec" sheetId="9" r:id="rId7"/>
    <sheet name="srpen" sheetId="10" r:id="rId8"/>
    <sheet name="září" sheetId="11" r:id="rId9"/>
    <sheet name="říjen" sheetId="12" r:id="rId10"/>
    <sheet name="listopad" sheetId="13" r:id="rId11"/>
    <sheet name="prosinec" sheetId="14" r:id="rId12"/>
    <sheet name="DATA GRAFU" sheetId="2" state="hidden" r:id="rId13"/>
  </sheets>
  <definedNames>
    <definedName name="_xlnm.Print_Area" localSheetId="2">březen!$A$1:$F$66</definedName>
    <definedName name="_xlnm.Print_Area" localSheetId="5">červen!$A$1:$F$66</definedName>
    <definedName name="_xlnm.Print_Area" localSheetId="6">červenec!$A$1:$F$66</definedName>
    <definedName name="_xlnm.Print_Area" localSheetId="3">duben!$A$1:$F$66</definedName>
    <definedName name="_xlnm.Print_Area" localSheetId="4">květen!$A$1:$F$66</definedName>
    <definedName name="_xlnm.Print_Area" localSheetId="0">leden!$A$1:$F$66</definedName>
    <definedName name="_xlnm.Print_Area" localSheetId="10">listopad!$A$1:$F$66</definedName>
    <definedName name="_xlnm.Print_Area" localSheetId="11">prosinec!$A$1:$F$66</definedName>
    <definedName name="_xlnm.Print_Area" localSheetId="9">říjen!$A$1:$F$66</definedName>
    <definedName name="_xlnm.Print_Area" localSheetId="7">srpen!$A$1:$F$66</definedName>
    <definedName name="_xlnm.Print_Area" localSheetId="1">únor!$A$1:$F$66</definedName>
    <definedName name="_xlnm.Print_Area" localSheetId="8">září!$A$1:$F$66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D66" i="14"/>
  <c r="C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66" i="14" s="1"/>
  <c r="E17" i="14" s="1"/>
  <c r="D24" i="14"/>
  <c r="C24" i="14"/>
  <c r="C16" i="14" s="1"/>
  <c r="C18" i="14" s="1"/>
  <c r="E23" i="14"/>
  <c r="E22" i="14"/>
  <c r="E24" i="14" s="1"/>
  <c r="E16" i="14" s="1"/>
  <c r="E18" i="14" s="1"/>
  <c r="E21" i="14"/>
  <c r="D17" i="14"/>
  <c r="D18" i="14" s="1"/>
  <c r="C17" i="14"/>
  <c r="D16" i="14"/>
  <c r="D66" i="13"/>
  <c r="C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66" i="13" s="1"/>
  <c r="E17" i="13" s="1"/>
  <c r="D24" i="13"/>
  <c r="C24" i="13"/>
  <c r="E23" i="13"/>
  <c r="E22" i="13"/>
  <c r="E24" i="13" s="1"/>
  <c r="E16" i="13" s="1"/>
  <c r="E21" i="13"/>
  <c r="C18" i="13"/>
  <c r="D17" i="13"/>
  <c r="D18" i="13" s="1"/>
  <c r="C17" i="13"/>
  <c r="D16" i="13"/>
  <c r="C16" i="13"/>
  <c r="D66" i="12"/>
  <c r="C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66" i="12" s="1"/>
  <c r="E17" i="12" s="1"/>
  <c r="D24" i="12"/>
  <c r="C24" i="12"/>
  <c r="E23" i="12"/>
  <c r="E22" i="12"/>
  <c r="E21" i="12"/>
  <c r="E24" i="12" s="1"/>
  <c r="E16" i="12" s="1"/>
  <c r="D17" i="12"/>
  <c r="C17" i="12"/>
  <c r="D16" i="12"/>
  <c r="D18" i="12" s="1"/>
  <c r="C16" i="12"/>
  <c r="C18" i="12" s="1"/>
  <c r="D66" i="11"/>
  <c r="C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66" i="11" s="1"/>
  <c r="E17" i="11" s="1"/>
  <c r="D24" i="11"/>
  <c r="C24" i="11"/>
  <c r="E23" i="11"/>
  <c r="E22" i="11"/>
  <c r="E21" i="11"/>
  <c r="E24" i="11" s="1"/>
  <c r="E16" i="11" s="1"/>
  <c r="E18" i="11" s="1"/>
  <c r="D17" i="11"/>
  <c r="C17" i="11"/>
  <c r="D16" i="11"/>
  <c r="D18" i="11" s="1"/>
  <c r="C16" i="11"/>
  <c r="C18" i="11" s="1"/>
  <c r="D66" i="10"/>
  <c r="C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66" i="10" s="1"/>
  <c r="E17" i="10" s="1"/>
  <c r="D24" i="10"/>
  <c r="C24" i="10"/>
  <c r="E23" i="10"/>
  <c r="E22" i="10"/>
  <c r="E24" i="10" s="1"/>
  <c r="E16" i="10" s="1"/>
  <c r="E21" i="10"/>
  <c r="C18" i="10"/>
  <c r="D17" i="10"/>
  <c r="D18" i="10" s="1"/>
  <c r="C17" i="10"/>
  <c r="D16" i="10"/>
  <c r="C16" i="10"/>
  <c r="D66" i="9"/>
  <c r="C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66" i="9" s="1"/>
  <c r="E17" i="9" s="1"/>
  <c r="D24" i="9"/>
  <c r="C24" i="9"/>
  <c r="E23" i="9"/>
  <c r="E22" i="9"/>
  <c r="E21" i="9"/>
  <c r="E24" i="9" s="1"/>
  <c r="E16" i="9" s="1"/>
  <c r="D17" i="9"/>
  <c r="C17" i="9"/>
  <c r="D16" i="9"/>
  <c r="D18" i="9" s="1"/>
  <c r="C16" i="9"/>
  <c r="C18" i="9" s="1"/>
  <c r="D66" i="8"/>
  <c r="C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66" i="8" s="1"/>
  <c r="E17" i="8" s="1"/>
  <c r="D24" i="8"/>
  <c r="C24" i="8"/>
  <c r="E23" i="8"/>
  <c r="E22" i="8"/>
  <c r="E24" i="8" s="1"/>
  <c r="E16" i="8" s="1"/>
  <c r="E18" i="8" s="1"/>
  <c r="E21" i="8"/>
  <c r="C18" i="8"/>
  <c r="D17" i="8"/>
  <c r="D18" i="8" s="1"/>
  <c r="C17" i="8"/>
  <c r="D16" i="8"/>
  <c r="C16" i="8"/>
  <c r="D66" i="7"/>
  <c r="C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66" i="7" s="1"/>
  <c r="E17" i="7" s="1"/>
  <c r="D24" i="7"/>
  <c r="C24" i="7"/>
  <c r="E23" i="7"/>
  <c r="E22" i="7"/>
  <c r="E24" i="7" s="1"/>
  <c r="E16" i="7" s="1"/>
  <c r="E18" i="7" s="1"/>
  <c r="E21" i="7"/>
  <c r="C18" i="7"/>
  <c r="D17" i="7"/>
  <c r="D18" i="7" s="1"/>
  <c r="C17" i="7"/>
  <c r="D16" i="7"/>
  <c r="C16" i="7"/>
  <c r="D66" i="6"/>
  <c r="C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66" i="6" s="1"/>
  <c r="E17" i="6" s="1"/>
  <c r="D24" i="6"/>
  <c r="C24" i="6"/>
  <c r="E23" i="6"/>
  <c r="E22" i="6"/>
  <c r="E24" i="6" s="1"/>
  <c r="E16" i="6" s="1"/>
  <c r="E21" i="6"/>
  <c r="C18" i="6"/>
  <c r="D17" i="6"/>
  <c r="D18" i="6" s="1"/>
  <c r="C17" i="6"/>
  <c r="D16" i="6"/>
  <c r="C16" i="6"/>
  <c r="D66" i="5"/>
  <c r="C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66" i="5" s="1"/>
  <c r="E17" i="5" s="1"/>
  <c r="D24" i="5"/>
  <c r="C24" i="5"/>
  <c r="E23" i="5"/>
  <c r="E22" i="5"/>
  <c r="E24" i="5" s="1"/>
  <c r="E16" i="5" s="1"/>
  <c r="E21" i="5"/>
  <c r="C18" i="5"/>
  <c r="D17" i="5"/>
  <c r="D18" i="5" s="1"/>
  <c r="C17" i="5"/>
  <c r="D16" i="5"/>
  <c r="C16" i="5"/>
  <c r="D66" i="4"/>
  <c r="C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66" i="4" s="1"/>
  <c r="E17" i="4" s="1"/>
  <c r="D24" i="4"/>
  <c r="C24" i="4"/>
  <c r="E23" i="4"/>
  <c r="E22" i="4"/>
  <c r="E24" i="4" s="1"/>
  <c r="E16" i="4" s="1"/>
  <c r="E21" i="4"/>
  <c r="C18" i="4"/>
  <c r="D17" i="4"/>
  <c r="C17" i="4"/>
  <c r="D16" i="4"/>
  <c r="D18" i="4" s="1"/>
  <c r="C16" i="4"/>
  <c r="E62" i="1"/>
  <c r="E63" i="1"/>
  <c r="E64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46" i="1"/>
  <c r="E18" i="13" l="1"/>
  <c r="E18" i="12"/>
  <c r="E18" i="10"/>
  <c r="E18" i="9"/>
  <c r="E18" i="6"/>
  <c r="E18" i="5"/>
  <c r="E18" i="4"/>
  <c r="E21" i="1" l="1"/>
  <c r="E22" i="1"/>
  <c r="E23" i="1"/>
  <c r="E28" i="1" l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65" i="1"/>
  <c r="E27" i="1"/>
  <c r="D66" i="1" l="1"/>
  <c r="D17" i="1" s="1"/>
  <c r="C66" i="1"/>
  <c r="C17" i="1" s="1"/>
  <c r="D16" i="1"/>
  <c r="C24" i="1"/>
  <c r="C16" i="1" s="1"/>
  <c r="E24" i="1"/>
  <c r="E16" i="1" s="1"/>
  <c r="D18" i="1" l="1"/>
  <c r="D5" i="2" s="1"/>
  <c r="D6" i="2"/>
  <c r="C6" i="2"/>
  <c r="C18" i="1"/>
  <c r="C5" i="2" s="1"/>
  <c r="C7" i="2"/>
  <c r="D7" i="2"/>
  <c r="E66" i="1"/>
  <c r="E17" i="1" s="1"/>
  <c r="E18" i="1" s="1"/>
</calcChain>
</file>

<file path=xl/sharedStrings.xml><?xml version="1.0" encoding="utf-8"?>
<sst xmlns="http://schemas.openxmlformats.org/spreadsheetml/2006/main" count="762" uniqueCount="66">
  <si>
    <t>[Jméno]</t>
  </si>
  <si>
    <t>Rodinný rozpočet</t>
  </si>
  <si>
    <t>Poznámka: Tabulka hotovostního toku se automaticky vypočítá na základě hodnot zadaných do tabulek Měsíční příjmy a Měsíční výdaje dole.</t>
  </si>
  <si>
    <t>Hotovostní tok</t>
  </si>
  <si>
    <t>Celkové příjmy</t>
  </si>
  <si>
    <t>Celkové výdaje</t>
  </si>
  <si>
    <t>Celková hotovost</t>
  </si>
  <si>
    <t>Měsíční příjmy</t>
  </si>
  <si>
    <t>Příjem 1</t>
  </si>
  <si>
    <t>Příjem 2</t>
  </si>
  <si>
    <t>Ostatní příjmy</t>
  </si>
  <si>
    <t>Měsíční výdaje</t>
  </si>
  <si>
    <t>Telefon</t>
  </si>
  <si>
    <t>Internet</t>
  </si>
  <si>
    <t>Kreditní karty</t>
  </si>
  <si>
    <t>Půjčky</t>
  </si>
  <si>
    <t>Jiné</t>
  </si>
  <si>
    <t>Celkem</t>
  </si>
  <si>
    <t>Předpoklad</t>
  </si>
  <si>
    <t>Skutečnost</t>
  </si>
  <si>
    <t>Rozdíl</t>
  </si>
  <si>
    <t>DATA GRAFU</t>
  </si>
  <si>
    <t>Leden</t>
  </si>
  <si>
    <t>Pojištění nemovitosti/domácnosti</t>
  </si>
  <si>
    <t>Nájem</t>
  </si>
  <si>
    <t xml:space="preserve">Elektřina </t>
  </si>
  <si>
    <t>Plyn</t>
  </si>
  <si>
    <t xml:space="preserve">Vodné/stočné </t>
  </si>
  <si>
    <t>Odpad</t>
  </si>
  <si>
    <t>Hypotéka</t>
  </si>
  <si>
    <t>Úvěr ze satvebního spoření</t>
  </si>
  <si>
    <t>Spotřební úvěr</t>
  </si>
  <si>
    <t>Kontokorent</t>
  </si>
  <si>
    <t>Nebankovní půjčky</t>
  </si>
  <si>
    <t>Životní pojištění</t>
  </si>
  <si>
    <t>Povinné ručení a havarijní</t>
  </si>
  <si>
    <t>Odpovědnostní pojištění</t>
  </si>
  <si>
    <t>Jídlo</t>
  </si>
  <si>
    <t>Drogérie</t>
  </si>
  <si>
    <t>Cigarety</t>
  </si>
  <si>
    <t>Cestovné/pohonné hmoty</t>
  </si>
  <si>
    <t>Škola</t>
  </si>
  <si>
    <t>Školka</t>
  </si>
  <si>
    <t>Sociální, zdravotní a daně</t>
  </si>
  <si>
    <t>Koníčky</t>
  </si>
  <si>
    <t>Sport</t>
  </si>
  <si>
    <t>Zdravotní doplňky</t>
  </si>
  <si>
    <t>Dovolená</t>
  </si>
  <si>
    <t>Alimenty</t>
  </si>
  <si>
    <t>Stavební spoření</t>
  </si>
  <si>
    <t>Penzijní spoření</t>
  </si>
  <si>
    <t>Investice</t>
  </si>
  <si>
    <t>Investice do komodit (např. zlato, stříbro)</t>
  </si>
  <si>
    <t>Investice do nemovitostí</t>
  </si>
  <si>
    <t>Kryptoměny</t>
  </si>
  <si>
    <t>Prosinec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</si>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</sst>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b/>
      <sz val="13"/>
      <color theme="2" tint="-0.24994659260841701"/>
      <name val="Calibri"/>
      <family val="2"/>
      <scheme val="minor"/>
    </font>
    <font>
      <b/>
      <sz val="16"/>
      <color theme="5"/>
      <name val="Calibri"/>
      <family val="2"/>
      <scheme val="major"/>
    </font>
    <font>
      <b/>
      <sz val="31"/>
      <color theme="4"/>
      <name val="Calibri"/>
      <family val="2"/>
      <scheme val="major"/>
    </font>
    <font>
      <b/>
      <sz val="25"/>
      <color theme="4"/>
      <name val="Calibri"/>
      <family val="2"/>
      <scheme val="major"/>
    </font>
    <font>
      <b/>
      <sz val="25"/>
      <color theme="5"/>
      <name val="Calibri"/>
      <family val="2"/>
      <scheme val="major"/>
    </font>
    <font>
      <b/>
      <sz val="20"/>
      <color theme="2" tint="-0.24994659260841701"/>
      <name val="Calibri"/>
      <family val="2"/>
      <scheme val="minor"/>
    </font>
    <font>
      <b/>
      <sz val="13"/>
      <color theme="5"/>
      <name val="Calibri"/>
      <family val="2"/>
      <scheme val="minor"/>
    </font>
    <font>
      <b/>
      <sz val="13"/>
      <color theme="6"/>
      <name val="Calibri"/>
      <family val="2"/>
      <scheme val="minor"/>
    </font>
    <font>
      <b/>
      <sz val="25"/>
      <color theme="6"/>
      <name val="Calibri"/>
      <family val="2"/>
      <scheme val="major"/>
    </font>
    <font>
      <b/>
      <sz val="13"/>
      <name val="Calibri"/>
      <family val="2"/>
      <scheme val="minor"/>
    </font>
    <font>
      <b/>
      <sz val="9"/>
      <color theme="2" tint="-0.24994659260841701"/>
      <name val="Calibri"/>
      <family val="2"/>
      <scheme val="minor"/>
    </font>
    <font>
      <b/>
      <sz val="31"/>
      <color theme="6" tint="-0.249977111117893"/>
      <name val="Calibri (Základní text)"/>
      <charset val="238"/>
    </font>
    <font>
      <b/>
      <sz val="20"/>
      <color theme="6" tint="-0.249977111117893"/>
      <name val="Calibri (Základní text)"/>
      <charset val="238"/>
    </font>
    <font>
      <b/>
      <sz val="25"/>
      <color theme="6" tint="-0.249977111117893"/>
      <name val="Calibri (Základní text)"/>
      <charset val="238"/>
    </font>
    <font>
      <b/>
      <sz val="13"/>
      <color theme="6" tint="-0.249977111117893"/>
      <name val="Calibri (Základní text)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9.9917600024414813E-2"/>
      </bottom>
      <diagonal/>
    </border>
    <border>
      <left/>
      <right/>
      <top/>
      <bottom style="medium">
        <color theme="2" tint="-9.9948118533890809E-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0">
    <xf numFmtId="0" fontId="0" fillId="0" borderId="0" xfId="0">
      <alignment vertical="center"/>
    </xf>
    <xf numFmtId="0" fontId="2" fillId="0" borderId="0" xfId="1" applyAlignment="1">
      <alignment vertical="center"/>
    </xf>
    <xf numFmtId="0" fontId="9" fillId="0" borderId="0" xfId="0" applyFont="1">
      <alignment vertical="center"/>
    </xf>
    <xf numFmtId="3" fontId="9" fillId="0" borderId="0" xfId="0" applyNumberFormat="1" applyFont="1">
      <alignment vertical="center"/>
    </xf>
    <xf numFmtId="0" fontId="1" fillId="0" borderId="0" xfId="5" applyAlignment="1" applyProtection="1">
      <alignment horizontal="left" vertical="center"/>
      <protection locked="0"/>
    </xf>
    <xf numFmtId="3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protection locked="0"/>
    </xf>
    <xf numFmtId="0" fontId="13" fillId="0" borderId="1" xfId="2" applyFont="1" applyBorder="1" applyAlignment="1" applyProtection="1">
      <alignment vertical="center"/>
      <protection locked="0"/>
    </xf>
    <xf numFmtId="3" fontId="14" fillId="0" borderId="1" xfId="0" applyNumberFormat="1" applyFont="1" applyBorder="1" applyProtection="1">
      <alignment vertical="center"/>
      <protection locked="0"/>
    </xf>
    <xf numFmtId="0" fontId="4" fillId="0" borderId="1" xfId="3" applyBorder="1" applyAlignment="1" applyProtection="1">
      <alignment vertical="center"/>
      <protection locked="0"/>
    </xf>
    <xf numFmtId="3" fontId="6" fillId="0" borderId="1" xfId="0" applyNumberFormat="1" applyFont="1" applyBorder="1" applyProtection="1">
      <alignment vertical="center"/>
      <protection locked="0"/>
    </xf>
    <xf numFmtId="3" fontId="0" fillId="0" borderId="0" xfId="0" applyNumberFormat="1" applyProtection="1">
      <alignment vertical="center"/>
    </xf>
    <xf numFmtId="0" fontId="0" fillId="0" borderId="0" xfId="0" applyBorder="1" applyProtection="1">
      <alignment vertical="center"/>
      <protection locked="0"/>
    </xf>
    <xf numFmtId="3" fontId="0" fillId="0" borderId="0" xfId="0" applyNumberFormat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3" fontId="0" fillId="0" borderId="3" xfId="0" applyNumberFormat="1" applyBorder="1" applyProtection="1">
      <alignment vertical="center"/>
      <protection locked="0"/>
    </xf>
    <xf numFmtId="0" fontId="8" fillId="0" borderId="0" xfId="4" applyBorder="1" applyAlignment="1" applyProtection="1">
      <alignment vertical="center"/>
      <protection locked="0"/>
    </xf>
    <xf numFmtId="3" fontId="7" fillId="0" borderId="0" xfId="0" applyNumberFormat="1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3" fontId="0" fillId="0" borderId="5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3" fontId="0" fillId="0" borderId="4" xfId="0" applyNumberFormat="1" applyBorder="1" applyProtection="1">
      <alignment vertical="center"/>
      <protection locked="0"/>
    </xf>
    <xf numFmtId="3" fontId="0" fillId="0" borderId="5" xfId="0" applyNumberFormat="1" applyBorder="1" applyProtection="1">
      <alignment vertical="center"/>
    </xf>
    <xf numFmtId="3" fontId="0" fillId="0" borderId="4" xfId="0" applyNumberFormat="1" applyBorder="1" applyProtection="1">
      <alignment vertical="center"/>
    </xf>
    <xf numFmtId="3" fontId="0" fillId="0" borderId="0" xfId="0" applyNumberFormat="1" applyBorder="1" applyProtection="1">
      <alignment vertical="center"/>
    </xf>
    <xf numFmtId="3" fontId="0" fillId="0" borderId="3" xfId="0" applyNumberFormat="1" applyBorder="1" applyProtection="1">
      <alignment vertical="center"/>
    </xf>
  </cellXfs>
  <cellStyles count="6"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ormální" xfId="0" builtinId="0" customBuiltin="1"/>
  </cellStyles>
  <dxfs count="441"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rgb="FFDBD8D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6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5"/>
        <name val="Calibri"/>
        <scheme val="minor"/>
      </font>
      <numFmt numFmtId="3" formatCode="#,##0"/>
      <protection locked="0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numFmt numFmtId="3" formatCode="#,##0"/>
      <protection locked="0" hidden="0"/>
    </dxf>
    <dxf>
      <numFmt numFmtId="3" formatCode="#,##0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medium">
          <color theme="2" tint="-9.9917600024414813E-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4"/>
        <name val="Calibri"/>
        <scheme val="minor"/>
      </font>
      <numFmt numFmtId="3" formatCode="#,##0"/>
      <protection locked="0" hidden="0"/>
    </dxf>
    <dxf>
      <font>
        <b/>
        <i val="0"/>
        <color theme="2" tint="-0.499984740745262"/>
      </font>
    </dxf>
    <dxf>
      <font>
        <b/>
        <i val="0"/>
        <color theme="5"/>
      </font>
    </dxf>
    <dxf>
      <font>
        <b/>
        <i val="0"/>
        <color theme="2" tint="-0.24994659260841701"/>
      </font>
    </dxf>
    <dxf>
      <font>
        <b/>
        <i val="0"/>
        <color theme="2" tint="-0.499984740745262"/>
      </font>
    </dxf>
    <dxf>
      <font>
        <b/>
        <i val="0"/>
        <color theme="6"/>
      </font>
    </dxf>
    <dxf>
      <font>
        <b/>
        <i val="0"/>
        <color theme="2" tint="-0.24994659260841701"/>
      </font>
    </dxf>
    <dxf>
      <font>
        <b/>
        <i val="0"/>
        <color theme="2" tint="-0.499984740745262"/>
      </font>
    </dxf>
    <dxf>
      <font>
        <b/>
        <i val="0"/>
        <color theme="4"/>
      </font>
    </dxf>
    <dxf>
      <font>
        <b/>
        <i val="0"/>
        <color theme="2" tint="-0.24994659260841701"/>
      </font>
    </dxf>
  </dxfs>
  <tableStyles count="3" defaultTableStyle="Rodinný rozpočet – hotovostní tok" defaultPivotStyle="PivotStyleLight16">
    <tableStyle name="Rodinný rozpočet – hotovostní tok" pivot="0" count="3" xr9:uid="{00000000-0011-0000-FFFF-FFFF00000000}">
      <tableStyleElement type="wholeTable" dxfId="440"/>
      <tableStyleElement type="headerRow" dxfId="439"/>
      <tableStyleElement type="totalRow" dxfId="438"/>
    </tableStyle>
    <tableStyle name="Rodinný rozpočet – výdaje" pivot="0" count="3" xr9:uid="{00000000-0011-0000-FFFF-FFFF01000000}">
      <tableStyleElement type="wholeTable" dxfId="437"/>
      <tableStyleElement type="headerRow" dxfId="436"/>
      <tableStyleElement type="totalRow" dxfId="435"/>
    </tableStyle>
    <tableStyle name="Rodinný rozpočet – příjmy" pivot="0" count="3" xr9:uid="{00000000-0011-0000-FFFF-FFFF02000000}">
      <tableStyleElement type="wholeTable" dxfId="434"/>
      <tableStyleElement type="headerRow" dxfId="433"/>
      <tableStyleElement type="totalRow" dxfId="4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D8-4A29-AA76-4E89536BAE5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DD8-4A29-AA76-4E89536BAE5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DD8-4A29-AA76-4E89536BAE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5-9545-8C58-1497A67BDD8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5-9545-8C58-1497A67BDD8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65-9545-8C58-1497A67BDD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65-9545-8C58-1497A67BDD83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C65-9545-8C58-1497A67BDD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C65-9545-8C58-1497A67BDD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C65-9545-8C58-1497A67BDD8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65-9545-8C58-1497A67BDD8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65-9545-8C58-1497A67BDD8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65-9545-8C58-1497A67BDD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65-9545-8C58-1497A67B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63-7448-939A-9AC98A03764B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63-7448-939A-9AC98A03764B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63-7448-939A-9AC98A0376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63-7448-939A-9AC98A03764B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863-7448-939A-9AC98A03764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863-7448-939A-9AC98A03764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863-7448-939A-9AC98A03764B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63-7448-939A-9AC98A03764B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63-7448-939A-9AC98A03764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63-7448-939A-9AC98A0376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63-7448-939A-9AC98A037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8C-4847-813C-C53F1BA526F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8C-4847-813C-C53F1BA526F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8C-4847-813C-C53F1BA52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8C-4847-813C-C53F1BA526F0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E8C-4847-813C-C53F1BA526F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2E8C-4847-813C-C53F1BA526F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2E8C-4847-813C-C53F1BA526F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8C-4847-813C-C53F1BA526F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8C-4847-813C-C53F1BA526F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8C-4847-813C-C53F1BA526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E8C-4847-813C-C53F1BA5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AC-CA41-943E-991BF5DB511D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C-CA41-943E-991BF5DB511D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AC-CA41-943E-991BF5DB51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AC-CA41-943E-991BF5DB511D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4AC-CA41-943E-991BF5DB511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4AC-CA41-943E-991BF5DB511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4AC-CA41-943E-991BF5DB511D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C-CA41-943E-991BF5DB511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C-CA41-943E-991BF5DB511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C-CA41-943E-991BF5DB5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AC-CA41-943E-991BF5DB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F9-5B44-B5DD-B44326002EB1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F9-5B44-B5DD-B44326002EB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F9-5B44-B5DD-B44326002E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F9-5B44-B5DD-B44326002EB1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5F9-5B44-B5DD-B44326002EB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5F9-5B44-B5DD-B44326002E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5F9-5B44-B5DD-B44326002EB1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F9-5B44-B5DD-B44326002EB1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F9-5B44-B5DD-B44326002EB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F9-5B44-B5DD-B44326002E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F9-5B44-B5DD-B44326002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55-B549-9582-72344302B913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55-B549-9582-72344302B91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55-B549-9582-72344302B9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55-B549-9582-72344302B913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3E55-B549-9582-72344302B9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E55-B549-9582-72344302B9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3E55-B549-9582-72344302B913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55-B549-9582-72344302B9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E55-B549-9582-72344302B913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E55-B549-9582-72344302B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E55-B549-9582-72344302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87-D64D-BFD8-A202BE849FC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87-D64D-BFD8-A202BE849FC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87-D64D-BFD8-A202BE849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87-D64D-BFD8-A202BE849FC7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187-D64D-BFD8-A202BE849FC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187-D64D-BFD8-A202BE849FC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187-D64D-BFD8-A202BE849FC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87-D64D-BFD8-A202BE849FC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7-D64D-BFD8-A202BE849FC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7-D64D-BFD8-A202BE849F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187-D64D-BFD8-A202BE849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4-0942-8DED-51F4784A53DF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4-0942-8DED-51F4784A53D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4-0942-8DED-51F4784A53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C4-0942-8DED-51F4784A53DF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C4-0942-8DED-51F4784A53D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6C4-0942-8DED-51F4784A53D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6C4-0942-8DED-51F4784A53DF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C4-0942-8DED-51F4784A53DF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C4-0942-8DED-51F4784A53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6C4-0942-8DED-51F4784A5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C4-0942-8DED-51F4784A5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A2-C345-8254-9ACF55409297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A2-C345-8254-9ACF55409297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A2-C345-8254-9ACF554092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A2-C345-8254-9ACF55409297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3A2-C345-8254-9ACF5540929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3A2-C345-8254-9ACF5540929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3A2-C345-8254-9ACF55409297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A2-C345-8254-9ACF55409297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A2-C345-8254-9ACF5540929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A2-C345-8254-9ACF554092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3A2-C345-8254-9ACF5540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4-8941-A483-7340395C3F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4-8941-A483-7340395C3F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4-8941-A483-7340395C3F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B4-8941-A483-7340395C3F08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5B4-8941-A483-7340395C3F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5B4-8941-A483-7340395C3F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5B4-8941-A483-7340395C3F0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5B4-8941-A483-7340395C3F0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5B4-8941-A483-7340395C3F0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5B4-8941-A483-7340395C3F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B4-8941-A483-7340395C3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64531097435343"/>
          <c:y val="0.13710580090580649"/>
          <c:w val="0.82358496143613447"/>
          <c:h val="0.74505498246072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GRAFU'!$C$4</c:f>
              <c:strCache>
                <c:ptCount val="1"/>
                <c:pt idx="0">
                  <c:v>Předpoklad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44-0743-8758-4070916F6EC0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4-0743-8758-4070916F6EC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44-0743-8758-4070916F6E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GRAFU'!$C$5:$C$7</c:f>
              <c:numCache>
                <c:formatCode>#,##0</c:formatCode>
                <c:ptCount val="3"/>
                <c:pt idx="0" formatCode="General">
                  <c:v>53000</c:v>
                </c:pt>
                <c:pt idx="1">
                  <c:v>53000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4-0743-8758-4070916F6EC0}"/>
            </c:ext>
          </c:extLst>
        </c:ser>
        <c:ser>
          <c:idx val="1"/>
          <c:order val="1"/>
          <c:tx>
            <c:strRef>
              <c:f>'DATA GRAFU'!$D$4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544-0743-8758-4070916F6E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544-0743-8758-4070916F6E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544-0743-8758-4070916F6EC0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544-0743-8758-4070916F6EC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544-0743-8758-4070916F6EC0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544-0743-8758-4070916F6E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GRAFU'!$B$5:$B$7</c:f>
              <c:strCache>
                <c:ptCount val="3"/>
                <c:pt idx="0">
                  <c:v>Hotovostní tok</c:v>
                </c:pt>
                <c:pt idx="1">
                  <c:v>Měsíční příjmy</c:v>
                </c:pt>
                <c:pt idx="2">
                  <c:v>Měsíční výdaje</c:v>
                </c:pt>
              </c:strCache>
            </c:strRef>
          </c:cat>
          <c:val>
            <c:numRef>
              <c:f>'DATA GRAFU'!$D$5:$D$7</c:f>
              <c:numCache>
                <c:formatCode>#,##0</c:formatCode>
                <c:ptCount val="3"/>
                <c:pt idx="0" formatCode="General">
                  <c:v>52900</c:v>
                </c:pt>
                <c:pt idx="1">
                  <c:v>52900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44-0743-8758-4070916F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overlap val="-11"/>
        <c:axId val="395754960"/>
        <c:axId val="395753392"/>
      </c:barChart>
      <c:catAx>
        <c:axId val="39575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5753392"/>
        <c:crosses val="autoZero"/>
        <c:auto val="1"/>
        <c:lblAlgn val="ctr"/>
        <c:lblOffset val="100"/>
        <c:noMultiLvlLbl val="0"/>
      </c:catAx>
      <c:valAx>
        <c:axId val="395753392"/>
        <c:scaling>
          <c:orientation val="minMax"/>
        </c:scaling>
        <c:delete val="0"/>
        <c:axPos val="l"/>
        <c:numFmt formatCode="#,##0\ &quot;Kč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bg2">
                    <a:lumMod val="7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3957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3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473653</xdr:colOff>
      <xdr:row>6</xdr:row>
      <xdr:rowOff>162560</xdr:rowOff>
    </xdr:from>
    <xdr:to>
      <xdr:col>1</xdr:col>
      <xdr:colOff>1374139</xdr:colOff>
      <xdr:row>10</xdr:row>
      <xdr:rowOff>53339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BFDF7BF-45CD-C642-8FC0-AD21CB55E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853" y="2153920"/>
          <a:ext cx="900486" cy="7442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61A07A7E-F81A-8F40-B2AC-4474579EC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497840</xdr:colOff>
      <xdr:row>6</xdr:row>
      <xdr:rowOff>101600</xdr:rowOff>
    </xdr:from>
    <xdr:to>
      <xdr:col>1</xdr:col>
      <xdr:colOff>1398326</xdr:colOff>
      <xdr:row>9</xdr:row>
      <xdr:rowOff>205739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5C742E7-65BB-7F42-92D7-E87700E3F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040" y="2092960"/>
          <a:ext cx="900486" cy="7442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30AFA10D-8787-874F-BC17-4697DB93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467360</xdr:colOff>
      <xdr:row>6</xdr:row>
      <xdr:rowOff>111760</xdr:rowOff>
    </xdr:from>
    <xdr:to>
      <xdr:col>1</xdr:col>
      <xdr:colOff>1367846</xdr:colOff>
      <xdr:row>10</xdr:row>
      <xdr:rowOff>2539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E786EB1-FBFB-954D-8516-CDC534931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" y="2103120"/>
          <a:ext cx="900486" cy="7442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D22240B9-36F0-1445-80B2-F0C66C0E46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518160</xdr:colOff>
      <xdr:row>6</xdr:row>
      <xdr:rowOff>60960</xdr:rowOff>
    </xdr:from>
    <xdr:to>
      <xdr:col>1</xdr:col>
      <xdr:colOff>1418646</xdr:colOff>
      <xdr:row>9</xdr:row>
      <xdr:rowOff>165099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0E3A464-0660-7F4F-B9FA-90FF3FB81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" y="2052320"/>
          <a:ext cx="900486" cy="7442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7D381303-699E-B241-B201-7CF3F59CD1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538480</xdr:colOff>
      <xdr:row>6</xdr:row>
      <xdr:rowOff>111760</xdr:rowOff>
    </xdr:from>
    <xdr:to>
      <xdr:col>1</xdr:col>
      <xdr:colOff>1438966</xdr:colOff>
      <xdr:row>10</xdr:row>
      <xdr:rowOff>2539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0EE08AE-72D4-864C-91E9-2B9F04857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680" y="2103120"/>
          <a:ext cx="900486" cy="744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840C52A2-E261-FF42-B431-08E0DF5D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508000</xdr:colOff>
      <xdr:row>6</xdr:row>
      <xdr:rowOff>142240</xdr:rowOff>
    </xdr:from>
    <xdr:to>
      <xdr:col>1</xdr:col>
      <xdr:colOff>1408486</xdr:colOff>
      <xdr:row>10</xdr:row>
      <xdr:rowOff>33019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46EE96-FAE6-A745-AE6E-229409E46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2133600"/>
          <a:ext cx="900486" cy="7442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11AADF4E-48FF-5041-88AC-3BB7C4C2A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508000</xdr:colOff>
      <xdr:row>6</xdr:row>
      <xdr:rowOff>111760</xdr:rowOff>
    </xdr:from>
    <xdr:to>
      <xdr:col>1</xdr:col>
      <xdr:colOff>1408486</xdr:colOff>
      <xdr:row>10</xdr:row>
      <xdr:rowOff>2539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1000B80-D6AF-C14C-9CFC-8605FD54C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2103120"/>
          <a:ext cx="900486" cy="7442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DB7ABBE2-C8E4-B54C-808A-E8D471A99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508000</xdr:colOff>
      <xdr:row>6</xdr:row>
      <xdr:rowOff>91440</xdr:rowOff>
    </xdr:from>
    <xdr:to>
      <xdr:col>1</xdr:col>
      <xdr:colOff>1408486</xdr:colOff>
      <xdr:row>9</xdr:row>
      <xdr:rowOff>195579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8ED082F-A949-A444-87EC-95E066EC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2082800"/>
          <a:ext cx="900486" cy="7442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DBF8FE45-004B-844C-9EC5-1ABC9741B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548640</xdr:colOff>
      <xdr:row>6</xdr:row>
      <xdr:rowOff>91440</xdr:rowOff>
    </xdr:from>
    <xdr:to>
      <xdr:col>1</xdr:col>
      <xdr:colOff>1449126</xdr:colOff>
      <xdr:row>9</xdr:row>
      <xdr:rowOff>195579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5E49D08-3E12-9543-AE3F-A24AEFA03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840" y="2082800"/>
          <a:ext cx="900486" cy="7442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0D640403-8BDC-3841-AFED-ED3137EDF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508000</xdr:colOff>
      <xdr:row>6</xdr:row>
      <xdr:rowOff>71120</xdr:rowOff>
    </xdr:from>
    <xdr:to>
      <xdr:col>1</xdr:col>
      <xdr:colOff>1408486</xdr:colOff>
      <xdr:row>9</xdr:row>
      <xdr:rowOff>175259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63A2236-FC7B-164D-9FC5-FD7B8270D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2062480"/>
          <a:ext cx="900486" cy="7442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A9EFFFF3-FAC3-B84C-BB63-88471117D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518160</xdr:colOff>
      <xdr:row>6</xdr:row>
      <xdr:rowOff>162560</xdr:rowOff>
    </xdr:from>
    <xdr:to>
      <xdr:col>1</xdr:col>
      <xdr:colOff>1418646</xdr:colOff>
      <xdr:row>10</xdr:row>
      <xdr:rowOff>53339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FF554EA-EEC8-CC41-AD8F-29776CAE2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360" y="2153920"/>
          <a:ext cx="900486" cy="7442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2243455</xdr:colOff>
      <xdr:row>2</xdr:row>
      <xdr:rowOff>76200</xdr:rowOff>
    </xdr:from>
    <xdr:to>
      <xdr:col>4</xdr:col>
      <xdr:colOff>1219200</xdr:colOff>
      <xdr:row>13</xdr:row>
      <xdr:rowOff>170717</xdr:rowOff>
    </xdr:to>
    <xdr:graphicFrame macro="">
      <xdr:nvGraphicFramePr>
        <xdr:cNvPr id="2" name="Graf rozpočtu" descr="Sloupcový graf znázorňující předpokládané i skutečné částky hotovostního toku, měsíčních příjmů a měsíčních výdajů" title="Graf rozpočtu">
          <a:extLst>
            <a:ext uri="{FF2B5EF4-FFF2-40B4-BE49-F238E27FC236}">
              <a16:creationId xmlns:a16="http://schemas.microsoft.com/office/drawing/2014/main" id="{7851DD8B-8488-D846-AF29-579D23A6D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528320</xdr:colOff>
      <xdr:row>6</xdr:row>
      <xdr:rowOff>81280</xdr:rowOff>
    </xdr:from>
    <xdr:to>
      <xdr:col>1</xdr:col>
      <xdr:colOff>1428806</xdr:colOff>
      <xdr:row>9</xdr:row>
      <xdr:rowOff>185419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DA1A8604-E086-164B-AEF2-FC786B4D4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1520" y="2072640"/>
          <a:ext cx="900486" cy="7442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tovostníTok" displayName="HotovostníTok" ref="B15:E18" totalsRowCount="1" headerRowDxfId="431" dataDxfId="429" totalsRowDxfId="428" headerRowBorderDxfId="430">
  <autoFilter ref="B15:E17" xr:uid="{00000000-0009-0000-0100-000001000000}"/>
  <tableColumns count="4">
    <tableColumn id="1" xr3:uid="{00000000-0010-0000-0000-000001000000}" name="Hotovostní tok" totalsRowLabel="Celková hotovost" dataDxfId="427" totalsRowDxfId="426"/>
    <tableColumn id="3" xr3:uid="{00000000-0010-0000-0000-000003000000}" name="Předpoklad" totalsRowFunction="custom" dataDxfId="425" totalsRowDxfId="424">
      <totalsRowFormula>C16-C17</totalsRowFormula>
    </tableColumn>
    <tableColumn id="4" xr3:uid="{00000000-0010-0000-0000-000004000000}" name="Skutečnost" totalsRowFunction="custom" dataDxfId="423" totalsRowDxfId="422">
      <totalsRowFormula>D16-D17</totalsRowFormula>
    </tableColumn>
    <tableColumn id="5" xr3:uid="{00000000-0010-0000-0000-000005000000}" name="Rozdíl" totalsRowFunction="sum" dataDxfId="421" totalsRowDxfId="420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C5DCD0-5318-E249-B9FA-8B6D2C7E7DA4}" name="HotovostníTok5811" displayName="HotovostníTok5811" ref="B15:E18" totalsRowCount="1" headerRowDxfId="324" dataDxfId="322" totalsRowDxfId="321" headerRowBorderDxfId="323">
  <autoFilter ref="B15:E17" xr:uid="{00000000-0009-0000-0100-000001000000}"/>
  <tableColumns count="4">
    <tableColumn id="1" xr3:uid="{C88C8302-3A19-B742-A78A-441A90976F2E}" name="Hotovostní tok" totalsRowLabel="Celková hotovost" dataDxfId="320" totalsRowDxfId="319"/>
    <tableColumn id="3" xr3:uid="{AAEDA5AE-E922-954A-AB4B-880FC7CEED32}" name="Předpoklad" totalsRowFunction="custom" dataDxfId="318" totalsRowDxfId="317">
      <totalsRowFormula>C16-C17</totalsRowFormula>
    </tableColumn>
    <tableColumn id="4" xr3:uid="{AC4174BE-B17A-EC4F-96D3-10E950F43D84}" name="Skutečnost" totalsRowFunction="custom" dataDxfId="316" totalsRowDxfId="315">
      <totalsRowFormula>D16-D17</totalsRowFormula>
    </tableColumn>
    <tableColumn id="5" xr3:uid="{FE0A707B-103B-5343-84B1-6DBDE9C08FC9}" name="Rozdíl" totalsRowFunction="sum" dataDxfId="314" totalsRowDxfId="313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615C05F-F1E6-1A44-BD14-C647A8EBE402}" name="Příjmy6912" displayName="Příjmy6912" ref="B20:E24" totalsRowCount="1" headerRowDxfId="312" dataDxfId="310" totalsRowDxfId="309" headerRowBorderDxfId="311">
  <autoFilter ref="B20:E23" xr:uid="{00000000-0009-0000-0100-000002000000}"/>
  <tableColumns count="4">
    <tableColumn id="1" xr3:uid="{4F3A03E1-9F98-994B-8235-15D2F551116F}" name="Měsíční příjmy" totalsRowLabel="Celkové příjmy" dataDxfId="308" totalsRowDxfId="307"/>
    <tableColumn id="3" xr3:uid="{A1DE3CB6-338F-A845-A72B-BAD423D7FC02}" name="Předpoklad" totalsRowFunction="sum" dataDxfId="306" totalsRowDxfId="305"/>
    <tableColumn id="4" xr3:uid="{C9FD7B64-DB27-C54C-A48C-D95EDFFA4833}" name="Skutečnost" totalsRowFunction="average" dataDxfId="304" totalsRowDxfId="303"/>
    <tableColumn id="5" xr3:uid="{067F89A0-021D-784D-A728-3E15D02F039A}" name="Rozdíl" totalsRowFunction="sum" dataDxfId="302" totalsRowDxfId="301">
      <calculatedColumnFormula>Příjmy6912[[#This Row],[Skutečnost]]-Příjmy6912[[#This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E8D220C2-221A-A849-A6B2-D8B5A4697E2F}" name="Výdaje71013" displayName="Výdaje71013" ref="B26:E66" totalsRowCount="1" headerRowDxfId="300" dataDxfId="298" totalsRowDxfId="297" headerRowBorderDxfId="299">
  <autoFilter ref="B26:E65" xr:uid="{00000000-0009-0000-0100-000003000000}"/>
  <tableColumns count="4">
    <tableColumn id="1" xr3:uid="{2DE91202-4869-C045-BA18-57ADFB055822}" name="Měsíční výdaje" totalsRowLabel="Celkem" dataDxfId="296" totalsRowDxfId="295"/>
    <tableColumn id="3" xr3:uid="{8E77A584-D005-7B42-B993-B52386E3935A}" name="Předpoklad" totalsRowFunction="sum" dataDxfId="294" totalsRowDxfId="293"/>
    <tableColumn id="4" xr3:uid="{D2A1300D-48D5-5845-9895-87378A960408}" name="Skutečnost" totalsRowFunction="sum" dataDxfId="292" totalsRowDxfId="291"/>
    <tableColumn id="5" xr3:uid="{04DAF70E-DEB1-8840-882C-FA388471C286}" name="Rozdíl" totalsRowFunction="sum" dataDxfId="290" totalsRowDxfId="289">
      <calculatedColumnFormula>Výdaje71013[[#This Row],[Předpoklad]]-Výdaje71013[[#This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3A78794-E528-A444-B279-6B5AF896385A}" name="HotovostníTok581114" displayName="HotovostníTok581114" ref="B15:E18" totalsRowCount="1" headerRowDxfId="288" dataDxfId="286" totalsRowDxfId="285" headerRowBorderDxfId="287">
  <autoFilter ref="B15:E17" xr:uid="{00000000-0009-0000-0100-000001000000}"/>
  <tableColumns count="4">
    <tableColumn id="1" xr3:uid="{8A908064-D2A1-4A47-A0A8-4544EB9D8557}" name="Hotovostní tok" totalsRowLabel="Celková hotovost" dataDxfId="284" totalsRowDxfId="283"/>
    <tableColumn id="3" xr3:uid="{658724FB-5192-5948-A732-B0E58C5097BE}" name="Předpoklad" totalsRowFunction="custom" dataDxfId="282" totalsRowDxfId="281">
      <totalsRowFormula>C16-C17</totalsRowFormula>
    </tableColumn>
    <tableColumn id="4" xr3:uid="{41F7EEBF-2565-D249-8E76-71B6BB42576A}" name="Skutečnost" totalsRowFunction="custom" dataDxfId="280" totalsRowDxfId="279">
      <totalsRowFormula>D16-D17</totalsRowFormula>
    </tableColumn>
    <tableColumn id="5" xr3:uid="{7D05B1F3-0F41-A049-A1F1-D4BCE9A9014A}" name="Rozdíl" totalsRowFunction="sum" dataDxfId="278" totalsRowDxfId="277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CE15496-F0C7-634D-B133-36C25F22062B}" name="Příjmy691215" displayName="Příjmy691215" ref="B20:E24" totalsRowCount="1" headerRowDxfId="276" dataDxfId="274" totalsRowDxfId="273" headerRowBorderDxfId="275">
  <autoFilter ref="B20:E23" xr:uid="{00000000-0009-0000-0100-000002000000}"/>
  <tableColumns count="4">
    <tableColumn id="1" xr3:uid="{15DD5C66-9DFC-3946-88AE-1C8D26995D1B}" name="Měsíční příjmy" totalsRowLabel="Celkové příjmy" dataDxfId="272" totalsRowDxfId="271"/>
    <tableColumn id="3" xr3:uid="{725DA9C2-F2DA-2140-80B4-56B23B4A27E1}" name="Předpoklad" totalsRowFunction="sum" dataDxfId="270" totalsRowDxfId="269"/>
    <tableColumn id="4" xr3:uid="{718BC3C0-AA2B-C944-B7BF-4FA365000678}" name="Skutečnost" totalsRowFunction="average" dataDxfId="268" totalsRowDxfId="267"/>
    <tableColumn id="5" xr3:uid="{815FD38D-48F7-D348-AA5D-D31B8AC01DFE}" name="Rozdíl" totalsRowFunction="sum" dataDxfId="266" totalsRowDxfId="265">
      <calculatedColumnFormula>Příjmy691215[[#This Row],[Skutečnost]]-Příjmy691215[[#This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822F65D-80D2-544C-8868-80EB64F1AEF0}" name="Výdaje7101316" displayName="Výdaje7101316" ref="B26:E66" totalsRowCount="1" headerRowDxfId="264" dataDxfId="262" totalsRowDxfId="261" headerRowBorderDxfId="263">
  <autoFilter ref="B26:E65" xr:uid="{00000000-0009-0000-0100-000003000000}"/>
  <tableColumns count="4">
    <tableColumn id="1" xr3:uid="{9F93145E-FC97-8342-BE87-48427CF29B14}" name="Měsíční výdaje" totalsRowLabel="Celkem" dataDxfId="260" totalsRowDxfId="259"/>
    <tableColumn id="3" xr3:uid="{6826415A-5837-C443-A079-404A08EA6C4A}" name="Předpoklad" totalsRowFunction="sum" dataDxfId="258" totalsRowDxfId="257"/>
    <tableColumn id="4" xr3:uid="{9C9AE1B5-7055-4946-856B-8AA9CE236B5B}" name="Skutečnost" totalsRowFunction="sum" dataDxfId="256" totalsRowDxfId="255"/>
    <tableColumn id="5" xr3:uid="{40D78368-5A5D-5149-A770-2EF1E3671AAF}" name="Rozdíl" totalsRowFunction="sum" dataDxfId="254" totalsRowDxfId="253">
      <calculatedColumnFormula>Výdaje7101316[[#This Row],[Předpoklad]]-Výdaje7101316[[#This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18DE077-A343-F748-8623-CD2DFB6E4BAA}" name="HotovostníTok58111417" displayName="HotovostníTok58111417" ref="B15:E18" totalsRowCount="1" headerRowDxfId="252" dataDxfId="250" totalsRowDxfId="249" headerRowBorderDxfId="251">
  <autoFilter ref="B15:E17" xr:uid="{00000000-0009-0000-0100-000001000000}"/>
  <tableColumns count="4">
    <tableColumn id="1" xr3:uid="{DD3C979F-0B95-A247-997A-227DF97FC1D9}" name="Hotovostní tok" totalsRowLabel="Celková hotovost" dataDxfId="248" totalsRowDxfId="247"/>
    <tableColumn id="3" xr3:uid="{5E9E82E5-BF79-4A40-B090-D994925865F3}" name="Předpoklad" totalsRowFunction="custom" dataDxfId="246" totalsRowDxfId="245">
      <totalsRowFormula>C16-C17</totalsRowFormula>
    </tableColumn>
    <tableColumn id="4" xr3:uid="{52270CA4-3EEC-1341-AF89-5145E2110C2D}" name="Skutečnost" totalsRowFunction="custom" dataDxfId="244" totalsRowDxfId="243">
      <totalsRowFormula>D16-D17</totalsRowFormula>
    </tableColumn>
    <tableColumn id="5" xr3:uid="{433D2402-8B2E-D54D-94C7-8BFD43C8A5A0}" name="Rozdíl" totalsRowFunction="sum" dataDxfId="242" totalsRowDxfId="241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75EFB1B-E250-EA43-A187-4867A2AE0A4C}" name="Příjmy69121518" displayName="Příjmy69121518" ref="B20:E24" totalsRowCount="1" headerRowDxfId="240" dataDxfId="238" totalsRowDxfId="237" headerRowBorderDxfId="239">
  <autoFilter ref="B20:E23" xr:uid="{00000000-0009-0000-0100-000002000000}"/>
  <tableColumns count="4">
    <tableColumn id="1" xr3:uid="{AD06AAD0-75A7-174A-A8DE-345372EC2299}" name="Měsíční příjmy" totalsRowLabel="Celkové příjmy" dataDxfId="236" totalsRowDxfId="235"/>
    <tableColumn id="3" xr3:uid="{0715AFB2-41C3-4540-BB1F-B227F0BCBE9E}" name="Předpoklad" totalsRowFunction="sum" dataDxfId="234" totalsRowDxfId="233"/>
    <tableColumn id="4" xr3:uid="{2FD10891-42F7-D945-A362-086647ECE3B4}" name="Skutečnost" totalsRowFunction="average" dataDxfId="232" totalsRowDxfId="231"/>
    <tableColumn id="5" xr3:uid="{782C2A20-9962-5F46-85B0-6B2ED482B150}" name="Rozdíl" totalsRowFunction="sum" dataDxfId="230" totalsRowDxfId="229">
      <calculatedColumnFormula>Příjmy69121518[[#This Row],[Skutečnost]]-Příjmy69121518[[#This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243B312-D9A0-A04C-B3C5-C68253E3DF0C}" name="Výdaje710131619" displayName="Výdaje710131619" ref="B26:E66" totalsRowCount="1" headerRowDxfId="228" dataDxfId="226" totalsRowDxfId="225" headerRowBorderDxfId="227">
  <autoFilter ref="B26:E65" xr:uid="{00000000-0009-0000-0100-000003000000}"/>
  <tableColumns count="4">
    <tableColumn id="1" xr3:uid="{27D01650-0EE7-FF42-8BEA-AAC414DF59A5}" name="Měsíční výdaje" totalsRowLabel="Celkem" dataDxfId="224" totalsRowDxfId="223"/>
    <tableColumn id="3" xr3:uid="{4CC43D7A-2EBB-4641-9F01-5AE1BD2370C4}" name="Předpoklad" totalsRowFunction="sum" dataDxfId="222" totalsRowDxfId="221"/>
    <tableColumn id="4" xr3:uid="{BC140F28-910B-454A-9998-A7AC3C9CCBAE}" name="Skutečnost" totalsRowFunction="sum" dataDxfId="220" totalsRowDxfId="219"/>
    <tableColumn id="5" xr3:uid="{7C78E745-DDA7-C840-AB87-F86269E0FF0B}" name="Rozdíl" totalsRowFunction="sum" dataDxfId="218" totalsRowDxfId="217">
      <calculatedColumnFormula>Výdaje710131619[[#This Row],[Předpoklad]]-Výdaje710131619[[#This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790449C-56E5-1442-95B8-0578895B7DB4}" name="HotovostníTok5811141720" displayName="HotovostníTok5811141720" ref="B15:E18" totalsRowCount="1" headerRowDxfId="216" dataDxfId="214" totalsRowDxfId="213" headerRowBorderDxfId="215">
  <autoFilter ref="B15:E17" xr:uid="{00000000-0009-0000-0100-000001000000}"/>
  <tableColumns count="4">
    <tableColumn id="1" xr3:uid="{533A3431-3B6C-C74E-8405-CAFF19B3BC96}" name="Hotovostní tok" totalsRowLabel="Celková hotovost" dataDxfId="212" totalsRowDxfId="211"/>
    <tableColumn id="3" xr3:uid="{52A57F11-7BC5-B649-B654-846556B147C3}" name="Předpoklad" totalsRowFunction="custom" dataDxfId="210" totalsRowDxfId="209">
      <totalsRowFormula>C16-C17</totalsRowFormula>
    </tableColumn>
    <tableColumn id="4" xr3:uid="{2AE18079-0C66-B549-B44F-1456EA3C6392}" name="Skutečnost" totalsRowFunction="custom" dataDxfId="208" totalsRowDxfId="207">
      <totalsRowFormula>D16-D17</totalsRowFormula>
    </tableColumn>
    <tableColumn id="5" xr3:uid="{FB33D2C2-EF52-9440-91D8-71CBA3C4F64F}" name="Rozdíl" totalsRowFunction="sum" dataDxfId="206" totalsRowDxfId="205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říjmy" displayName="Příjmy" ref="B20:E24" totalsRowCount="1" headerRowDxfId="419" dataDxfId="417" totalsRowDxfId="416" headerRowBorderDxfId="418">
  <autoFilter ref="B20:E23" xr:uid="{00000000-0009-0000-0100-000002000000}"/>
  <tableColumns count="4">
    <tableColumn id="1" xr3:uid="{00000000-0010-0000-0100-000001000000}" name="Měsíční příjmy" totalsRowLabel="Celkové příjmy" dataDxfId="415" totalsRowDxfId="414"/>
    <tableColumn id="3" xr3:uid="{00000000-0010-0000-0100-000003000000}" name="Předpoklad" totalsRowFunction="sum" dataDxfId="413" totalsRowDxfId="412"/>
    <tableColumn id="4" xr3:uid="{00000000-0010-0000-0100-000004000000}" name="Skutečnost" totalsRowFunction="sum" dataDxfId="411" totalsRowDxfId="0"/>
    <tableColumn id="5" xr3:uid="{00000000-0010-0000-0100-000005000000}" name="Rozdíl" totalsRowFunction="sum" dataDxfId="410" totalsRowDxfId="409">
      <calculatedColumnFormula>Příjmy[[#This Row],[Skutečnost]]-Příjmy[[#This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183D034-2E1D-A141-BA30-2AF446A163C4}" name="Příjmy6912151821" displayName="Příjmy6912151821" ref="B20:E24" totalsRowCount="1" headerRowDxfId="204" dataDxfId="202" totalsRowDxfId="201" headerRowBorderDxfId="203">
  <autoFilter ref="B20:E23" xr:uid="{00000000-0009-0000-0100-000002000000}"/>
  <tableColumns count="4">
    <tableColumn id="1" xr3:uid="{ACEA7E80-4E6F-5945-8437-CB1A0EC1F13D}" name="Měsíční příjmy" totalsRowLabel="Celkové příjmy" dataDxfId="200" totalsRowDxfId="199"/>
    <tableColumn id="3" xr3:uid="{BB720420-26F5-E449-A029-97AC1B588E6C}" name="Předpoklad" totalsRowFunction="sum" dataDxfId="198" totalsRowDxfId="197"/>
    <tableColumn id="4" xr3:uid="{D8F4DFDA-1BCB-DF4A-8C66-1ECA68D357AC}" name="Skutečnost" totalsRowFunction="average" dataDxfId="196" totalsRowDxfId="195"/>
    <tableColumn id="5" xr3:uid="{63F05B5B-2D9D-7445-8381-367CF3357887}" name="Rozdíl" totalsRowFunction="sum" dataDxfId="194" totalsRowDxfId="193">
      <calculatedColumnFormula>Příjmy6912151821[[#This Row],[Skutečnost]]-Příjmy6912151821[[#This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07F3ABC-E51C-A642-9747-EE3AD047D885}" name="Výdaje71013161922" displayName="Výdaje71013161922" ref="B26:E66" totalsRowCount="1" headerRowDxfId="192" dataDxfId="190" totalsRowDxfId="189" headerRowBorderDxfId="191">
  <autoFilter ref="B26:E65" xr:uid="{00000000-0009-0000-0100-000003000000}"/>
  <tableColumns count="4">
    <tableColumn id="1" xr3:uid="{CD1D027F-11A9-194E-B71D-57E1087A6297}" name="Měsíční výdaje" totalsRowLabel="Celkem" dataDxfId="188" totalsRowDxfId="187"/>
    <tableColumn id="3" xr3:uid="{5B0167EF-4EE5-3445-B250-847935D589BF}" name="Předpoklad" totalsRowFunction="sum" dataDxfId="186" totalsRowDxfId="185"/>
    <tableColumn id="4" xr3:uid="{21E0EF15-1FD2-CA42-9CA6-C1E866F213AD}" name="Skutečnost" totalsRowFunction="sum" dataDxfId="184" totalsRowDxfId="183"/>
    <tableColumn id="5" xr3:uid="{D7D9C97A-1986-B743-8263-4E573113EDDA}" name="Rozdíl" totalsRowFunction="sum" dataDxfId="182" totalsRowDxfId="181">
      <calculatedColumnFormula>Výdaje71013161922[[#This Row],[Předpoklad]]-Výdaje71013161922[[#This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BB25B53-F7EB-1741-80B2-A24CA8F0AA91}" name="HotovostníTok23" displayName="HotovostníTok23" ref="B15:E18" totalsRowCount="1" headerRowDxfId="180" dataDxfId="178" totalsRowDxfId="177" headerRowBorderDxfId="179">
  <autoFilter ref="B15:E17" xr:uid="{00000000-0009-0000-0100-000001000000}"/>
  <tableColumns count="4">
    <tableColumn id="1" xr3:uid="{7A5BFE7C-BF4F-B044-8F11-D896E379BFA3}" name="Hotovostní tok" totalsRowLabel="Celková hotovost" dataDxfId="176" totalsRowDxfId="175"/>
    <tableColumn id="3" xr3:uid="{29B9ACC7-1F72-BB4C-A176-4FDE8450D7CA}" name="Předpoklad" totalsRowFunction="custom" dataDxfId="174" totalsRowDxfId="173">
      <totalsRowFormula>C16-C17</totalsRowFormula>
    </tableColumn>
    <tableColumn id="4" xr3:uid="{9FDDC836-5540-CA47-BC1B-8488F20B2388}" name="Skutečnost" totalsRowFunction="custom" dataDxfId="172" totalsRowDxfId="171">
      <totalsRowFormula>D16-D17</totalsRowFormula>
    </tableColumn>
    <tableColumn id="5" xr3:uid="{4911666F-DF8B-7448-A862-6966F98ACFB4}" name="Rozdíl" totalsRowFunction="sum" dataDxfId="170" totalsRowDxfId="169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A08EFE0-F2BA-F349-820F-8FB6C4A44A1F}" name="Příjmy24" displayName="Příjmy24" ref="B20:E24" totalsRowCount="1" headerRowDxfId="168" dataDxfId="166" totalsRowDxfId="165" headerRowBorderDxfId="167">
  <autoFilter ref="B20:E23" xr:uid="{00000000-0009-0000-0100-000002000000}"/>
  <tableColumns count="4">
    <tableColumn id="1" xr3:uid="{F9FCB463-0377-6C40-AAA1-32BE909CA292}" name="Měsíční příjmy" totalsRowLabel="Celkové příjmy" dataDxfId="164" totalsRowDxfId="163"/>
    <tableColumn id="3" xr3:uid="{4B6B0CB6-4FE2-D148-9590-3FCDA4278D9A}" name="Předpoklad" totalsRowFunction="sum" dataDxfId="162" totalsRowDxfId="161"/>
    <tableColumn id="4" xr3:uid="{867CBC82-7B7E-224A-BACC-0F5218C97431}" name="Skutečnost" totalsRowFunction="average" dataDxfId="160" totalsRowDxfId="159"/>
    <tableColumn id="5" xr3:uid="{55EC882C-48A6-D941-B6C4-CD98B92DC541}" name="Rozdíl" totalsRowFunction="sum" dataDxfId="158" totalsRowDxfId="157">
      <calculatedColumnFormula>Příjmy24[[#This Row],[Skutečnost]]-Příjmy24[[#This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07A8AB6-2806-4C45-9874-652E0A54ECAD}" name="Výdaje25" displayName="Výdaje25" ref="B26:E66" totalsRowCount="1" headerRowDxfId="156" dataDxfId="154" totalsRowDxfId="153" headerRowBorderDxfId="155">
  <autoFilter ref="B26:E65" xr:uid="{00000000-0009-0000-0100-000003000000}"/>
  <tableColumns count="4">
    <tableColumn id="1" xr3:uid="{E13ACDEF-EA4C-8045-B38F-8B6C9BAA4843}" name="Měsíční výdaje" totalsRowLabel="Celkem" dataDxfId="152" totalsRowDxfId="151"/>
    <tableColumn id="3" xr3:uid="{4CBB49ED-FDA6-7743-B5C3-A90651F690E3}" name="Předpoklad" totalsRowFunction="sum" dataDxfId="150" totalsRowDxfId="149"/>
    <tableColumn id="4" xr3:uid="{C553D002-34DA-6A48-BFA7-6CB2EF3E3D00}" name="Skutečnost" totalsRowFunction="sum" dataDxfId="148" totalsRowDxfId="147"/>
    <tableColumn id="5" xr3:uid="{2ACA1F2F-03C1-9B46-B0EB-4FFAE3CB61B1}" name="Rozdíl" totalsRowFunction="sum" dataDxfId="146" totalsRowDxfId="145">
      <calculatedColumnFormula>Výdaje25[[#This Row],[Předpoklad]]-Výdaje25[[#This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772B4DFF-62F5-8345-BE7C-F03167E24EAE}" name="HotovostníTok2326" displayName="HotovostníTok2326" ref="B15:E18" totalsRowCount="1" headerRowDxfId="144" dataDxfId="142" totalsRowDxfId="141" headerRowBorderDxfId="143">
  <autoFilter ref="B15:E17" xr:uid="{00000000-0009-0000-0100-000001000000}"/>
  <tableColumns count="4">
    <tableColumn id="1" xr3:uid="{CA149AF7-EAB3-CD4C-9CB1-3A70F1B6AAF3}" name="Hotovostní tok" totalsRowLabel="Celková hotovost" dataDxfId="140" totalsRowDxfId="139"/>
    <tableColumn id="3" xr3:uid="{7B9BDC66-9808-D34A-9863-F92A1CC90679}" name="Předpoklad" totalsRowFunction="custom" dataDxfId="138" totalsRowDxfId="137">
      <totalsRowFormula>C16-C17</totalsRowFormula>
    </tableColumn>
    <tableColumn id="4" xr3:uid="{62146029-D42F-2948-A5F2-23F586BF380D}" name="Skutečnost" totalsRowFunction="custom" dataDxfId="136" totalsRowDxfId="135">
      <totalsRowFormula>D16-D17</totalsRowFormula>
    </tableColumn>
    <tableColumn id="5" xr3:uid="{C441A50B-2791-3346-8A3E-93E5F6303A53}" name="Rozdíl" totalsRowFunction="sum" dataDxfId="134" totalsRowDxfId="133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6268EF75-0C2D-8043-9E3C-BF0AD7310453}" name="Příjmy2427" displayName="Příjmy2427" ref="B20:E24" totalsRowCount="1" headerRowDxfId="132" dataDxfId="130" totalsRowDxfId="129" headerRowBorderDxfId="131">
  <autoFilter ref="B20:E23" xr:uid="{00000000-0009-0000-0100-000002000000}"/>
  <tableColumns count="4">
    <tableColumn id="1" xr3:uid="{90B0016E-222F-EE4D-BC0D-0B045F5CF060}" name="Měsíční příjmy" totalsRowLabel="Celkové příjmy" dataDxfId="128" totalsRowDxfId="127"/>
    <tableColumn id="3" xr3:uid="{53CA3E98-EAFA-A644-AC17-99789160943A}" name="Předpoklad" totalsRowFunction="sum" dataDxfId="126" totalsRowDxfId="125"/>
    <tableColumn id="4" xr3:uid="{73C9ED86-9C01-E44D-8748-8907868268C5}" name="Skutečnost" totalsRowFunction="average" dataDxfId="124" totalsRowDxfId="123"/>
    <tableColumn id="5" xr3:uid="{32C96FD9-8189-F14F-982A-4E4661375681}" name="Rozdíl" totalsRowFunction="sum" dataDxfId="122" totalsRowDxfId="121">
      <calculatedColumnFormula>Příjmy2427[[#This Row],[Skutečnost]]-Příjmy2427[[#This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60AFB624-8337-BF42-A005-EC4BD5653994}" name="Výdaje2528" displayName="Výdaje2528" ref="B26:E66" totalsRowCount="1" headerRowDxfId="120" dataDxfId="118" totalsRowDxfId="117" headerRowBorderDxfId="119">
  <autoFilter ref="B26:E65" xr:uid="{00000000-0009-0000-0100-000003000000}"/>
  <tableColumns count="4">
    <tableColumn id="1" xr3:uid="{93B9C33A-C551-984B-9729-F9D8D48A775F}" name="Měsíční výdaje" totalsRowLabel="Celkem" dataDxfId="116" totalsRowDxfId="115"/>
    <tableColumn id="3" xr3:uid="{05ACA7AD-C80C-5E4E-B31B-1A1C7981A402}" name="Předpoklad" totalsRowFunction="sum" dataDxfId="114" totalsRowDxfId="113"/>
    <tableColumn id="4" xr3:uid="{2FF72B61-F8F9-3141-8E18-85A516870F57}" name="Skutečnost" totalsRowFunction="sum" dataDxfId="112" totalsRowDxfId="111"/>
    <tableColumn id="5" xr3:uid="{C11A16D5-307E-0F40-9FF0-2D50C46D9010}" name="Rozdíl" totalsRowFunction="sum" dataDxfId="110" totalsRowDxfId="109">
      <calculatedColumnFormula>Výdaje2528[[#This Row],[Předpoklad]]-Výdaje2528[[#This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F9EBC79-125F-1E44-AAC7-9C4C86862647}" name="HotovostníTok232629" displayName="HotovostníTok232629" ref="B15:E18" totalsRowCount="1" headerRowDxfId="108" dataDxfId="106" totalsRowDxfId="105" headerRowBorderDxfId="107">
  <autoFilter ref="B15:E17" xr:uid="{00000000-0009-0000-0100-000001000000}"/>
  <tableColumns count="4">
    <tableColumn id="1" xr3:uid="{5AEB1E4D-DBB6-804D-A3F5-25E9554642EB}" name="Hotovostní tok" totalsRowLabel="Celková hotovost" dataDxfId="104" totalsRowDxfId="103"/>
    <tableColumn id="3" xr3:uid="{7B01D9D6-6CAF-A143-BC89-7F06081682BD}" name="Předpoklad" totalsRowFunction="custom" dataDxfId="102" totalsRowDxfId="101">
      <totalsRowFormula>C16-C17</totalsRowFormula>
    </tableColumn>
    <tableColumn id="4" xr3:uid="{E93556C7-25B3-B84E-8605-4BDBCB7AA776}" name="Skutečnost" totalsRowFunction="custom" dataDxfId="100" totalsRowDxfId="99">
      <totalsRowFormula>D16-D17</totalsRowFormula>
    </tableColumn>
    <tableColumn id="5" xr3:uid="{7BD9AAB2-C80E-D541-95AA-893E3F55ECA7}" name="Rozdíl" totalsRowFunction="sum" dataDxfId="98" totalsRowDxfId="97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2F6C19F-77FB-3946-96AA-7FB907DAFA69}" name="Příjmy242730" displayName="Příjmy242730" ref="B20:E24" totalsRowCount="1" headerRowDxfId="96" dataDxfId="94" totalsRowDxfId="93" headerRowBorderDxfId="95">
  <autoFilter ref="B20:E23" xr:uid="{00000000-0009-0000-0100-000002000000}"/>
  <tableColumns count="4">
    <tableColumn id="1" xr3:uid="{791D950F-1599-3849-944C-0CE5E32B6E8C}" name="Měsíční příjmy" totalsRowLabel="Celkové příjmy" dataDxfId="92" totalsRowDxfId="91"/>
    <tableColumn id="3" xr3:uid="{FD478998-DA6A-1348-BB4A-85173A08055F}" name="Předpoklad" totalsRowFunction="sum" dataDxfId="90" totalsRowDxfId="89"/>
    <tableColumn id="4" xr3:uid="{730A226F-F23D-3B40-A4E6-BDD9457C3030}" name="Skutečnost" totalsRowFunction="average" dataDxfId="88" totalsRowDxfId="87"/>
    <tableColumn id="5" xr3:uid="{D722874F-5256-3643-AA6D-9E786F73A982}" name="Rozdíl" totalsRowFunction="sum" dataDxfId="86" totalsRowDxfId="85">
      <calculatedColumnFormula>Příjmy242730[[#This Row],[Skutečnost]]-Příjmy242730[[#This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Výdaje" displayName="Výdaje" ref="B26:E66" totalsRowCount="1" headerRowDxfId="408" dataDxfId="406" totalsRowDxfId="405" headerRowBorderDxfId="407">
  <autoFilter ref="B26:E65" xr:uid="{00000000-0009-0000-0100-000003000000}"/>
  <tableColumns count="4">
    <tableColumn id="1" xr3:uid="{00000000-0010-0000-0200-000001000000}" name="Měsíční výdaje" totalsRowLabel="Celkem" dataDxfId="404" totalsRowDxfId="403"/>
    <tableColumn id="3" xr3:uid="{00000000-0010-0000-0200-000003000000}" name="Předpoklad" totalsRowFunction="sum" dataDxfId="402" totalsRowDxfId="401"/>
    <tableColumn id="4" xr3:uid="{00000000-0010-0000-0200-000004000000}" name="Skutečnost" totalsRowFunction="sum" dataDxfId="400" totalsRowDxfId="399"/>
    <tableColumn id="5" xr3:uid="{00000000-0010-0000-0200-000005000000}" name="Rozdíl" totalsRowFunction="sum" dataDxfId="398" totalsRowDxfId="397">
      <calculatedColumnFormula>Výdaje[[#This Row],[Předpoklad]]-Výdaje[[#This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1AF4EE4-9D95-C349-9304-4D6B99F1F41E}" name="Výdaje252831" displayName="Výdaje252831" ref="B26:E66" totalsRowCount="1" headerRowDxfId="84" dataDxfId="82" totalsRowDxfId="81" headerRowBorderDxfId="83">
  <autoFilter ref="B26:E65" xr:uid="{00000000-0009-0000-0100-000003000000}"/>
  <tableColumns count="4">
    <tableColumn id="1" xr3:uid="{8FA64C07-0DCA-2D43-A72C-C41BA8B68D96}" name="Měsíční výdaje" totalsRowLabel="Celkem" dataDxfId="80" totalsRowDxfId="79"/>
    <tableColumn id="3" xr3:uid="{0CB992CA-B5E9-C545-AAB5-596A5109E8BC}" name="Předpoklad" totalsRowFunction="sum" dataDxfId="78" totalsRowDxfId="77"/>
    <tableColumn id="4" xr3:uid="{A284E1C7-2586-044C-AA4A-FF6D7AE77C7D}" name="Skutečnost" totalsRowFunction="sum" dataDxfId="76" totalsRowDxfId="75"/>
    <tableColumn id="5" xr3:uid="{AA08C93E-43A1-AF4D-B792-A871E08FD5DC}" name="Rozdíl" totalsRowFunction="sum" dataDxfId="74" totalsRowDxfId="73">
      <calculatedColumnFormula>Výdaje252831[[#This Row],[Předpoklad]]-Výdaje252831[[#This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000D86E-A6DD-9945-A478-7567F68A0FAC}" name="HotovostníTok23262932" displayName="HotovostníTok23262932" ref="B15:E18" totalsRowCount="1" headerRowDxfId="72" dataDxfId="70" totalsRowDxfId="69" headerRowBorderDxfId="71">
  <autoFilter ref="B15:E17" xr:uid="{00000000-0009-0000-0100-000001000000}"/>
  <tableColumns count="4">
    <tableColumn id="1" xr3:uid="{39E997E2-F155-8C44-8850-C2C11C2BF63E}" name="Hotovostní tok" totalsRowLabel="Celková hotovost" dataDxfId="68" totalsRowDxfId="67"/>
    <tableColumn id="3" xr3:uid="{CAB11E9D-2BD3-8D43-9095-54C45763312E}" name="Předpoklad" totalsRowFunction="custom" dataDxfId="66" totalsRowDxfId="65">
      <totalsRowFormula>C16-C17</totalsRowFormula>
    </tableColumn>
    <tableColumn id="4" xr3:uid="{409162BF-1486-F845-AD23-1AF37CCE1294}" name="Skutečnost" totalsRowFunction="custom" dataDxfId="64" totalsRowDxfId="63">
      <totalsRowFormula>D16-D17</totalsRowFormula>
    </tableColumn>
    <tableColumn id="5" xr3:uid="{5B20B34C-81AD-1148-863A-A5D848DD33BF}" name="Rozdíl" totalsRowFunction="sum" dataDxfId="62" totalsRowDxfId="61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1CA763D-D559-6D44-B3F7-43BBC0B022A1}" name="Příjmy24273033" displayName="Příjmy24273033" ref="B20:E24" totalsRowCount="1" headerRowDxfId="60" dataDxfId="58" totalsRowDxfId="57" headerRowBorderDxfId="59">
  <autoFilter ref="B20:E23" xr:uid="{00000000-0009-0000-0100-000002000000}"/>
  <tableColumns count="4">
    <tableColumn id="1" xr3:uid="{C90563DD-CD0E-5A4C-9888-91678D128B17}" name="Měsíční příjmy" totalsRowLabel="Celkové příjmy" dataDxfId="56" totalsRowDxfId="55"/>
    <tableColumn id="3" xr3:uid="{5D8E6545-6AE4-7B41-A2F6-17165ACD0D1E}" name="Předpoklad" totalsRowFunction="sum" dataDxfId="54" totalsRowDxfId="53"/>
    <tableColumn id="4" xr3:uid="{84645517-FD56-7B4D-9690-9901E11B11CC}" name="Skutečnost" totalsRowFunction="average" dataDxfId="52" totalsRowDxfId="51"/>
    <tableColumn id="5" xr3:uid="{A338868F-81FB-3842-AB26-6C0AC31C9C94}" name="Rozdíl" totalsRowFunction="sum" dataDxfId="50" totalsRowDxfId="49">
      <calculatedColumnFormula>Příjmy24273033[[#This Row],[Skutečnost]]-Příjmy24273033[[#This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5CE61F39-8FD9-2645-8D6A-FD347DCBA22A}" name="Výdaje25283134" displayName="Výdaje25283134" ref="B26:E66" totalsRowCount="1" headerRowDxfId="48" dataDxfId="46" totalsRowDxfId="45" headerRowBorderDxfId="47">
  <autoFilter ref="B26:E65" xr:uid="{00000000-0009-0000-0100-000003000000}"/>
  <tableColumns count="4">
    <tableColumn id="1" xr3:uid="{F946D976-AD8E-0747-9309-32A2F5B0BA89}" name="Měsíční výdaje" totalsRowLabel="Celkem" dataDxfId="44" totalsRowDxfId="43"/>
    <tableColumn id="3" xr3:uid="{D78B22CA-A3EB-3C48-9944-E76EE9E4A705}" name="Předpoklad" totalsRowFunction="sum" dataDxfId="42" totalsRowDxfId="41"/>
    <tableColumn id="4" xr3:uid="{6B9ABB42-0BEA-E14E-A71B-175AFF5189DD}" name="Skutečnost" totalsRowFunction="sum" dataDxfId="40" totalsRowDxfId="39"/>
    <tableColumn id="5" xr3:uid="{2835C6B9-67DB-1C42-B3A2-B3518A415114}" name="Rozdíl" totalsRowFunction="sum" dataDxfId="38" totalsRowDxfId="37">
      <calculatedColumnFormula>Výdaje25283134[[#This Row],[Předpoklad]]-Výdaje25283134[[#This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A8545BED-313F-CA49-8AB9-C78CCB37A4A1}" name="HotovostníTok2326293235" displayName="HotovostníTok2326293235" ref="B15:E18" totalsRowCount="1" headerRowDxfId="36" dataDxfId="34" totalsRowDxfId="33" headerRowBorderDxfId="35">
  <autoFilter ref="B15:E17" xr:uid="{00000000-0009-0000-0100-000001000000}"/>
  <tableColumns count="4">
    <tableColumn id="1" xr3:uid="{1F906067-E9FA-CC4F-958C-F44B21539B1A}" name="Hotovostní tok" totalsRowLabel="Celková hotovost" dataDxfId="32" totalsRowDxfId="31"/>
    <tableColumn id="3" xr3:uid="{91A68CDA-D0A0-BA4D-B21C-716CEA9615B3}" name="Předpoklad" totalsRowFunction="custom" dataDxfId="30" totalsRowDxfId="29">
      <totalsRowFormula>C16-C17</totalsRowFormula>
    </tableColumn>
    <tableColumn id="4" xr3:uid="{4612BD4B-3F03-7248-8685-AF8AF3A40B18}" name="Skutečnost" totalsRowFunction="custom" dataDxfId="28" totalsRowDxfId="27">
      <totalsRowFormula>D16-D17</totalsRowFormula>
    </tableColumn>
    <tableColumn id="5" xr3:uid="{B948697E-AFBC-8A47-BAD4-9FBFFDE7E816}" name="Rozdíl" totalsRowFunction="sum" dataDxfId="26" totalsRowDxfId="25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8DB1F87-FCBE-CB46-A735-30F6574473C3}" name="Příjmy2427303336" displayName="Příjmy2427303336" ref="B20:E24" totalsRowCount="1" headerRowDxfId="24" dataDxfId="22" totalsRowDxfId="21" headerRowBorderDxfId="23">
  <autoFilter ref="B20:E23" xr:uid="{00000000-0009-0000-0100-000002000000}"/>
  <tableColumns count="4">
    <tableColumn id="1" xr3:uid="{A4C804AC-6781-B545-8BFB-8B485722BA0E}" name="Měsíční příjmy" totalsRowLabel="Celkové příjmy" dataDxfId="20" totalsRowDxfId="19"/>
    <tableColumn id="3" xr3:uid="{BF48C837-0612-5A41-B256-9335F94EA35C}" name="Předpoklad" totalsRowFunction="sum" dataDxfId="18" totalsRowDxfId="17"/>
    <tableColumn id="4" xr3:uid="{259D16A2-8EEA-E04F-BC7C-7FAF3DAA1646}" name="Skutečnost" totalsRowFunction="average" dataDxfId="16" totalsRowDxfId="15"/>
    <tableColumn id="5" xr3:uid="{3300A8C8-BE61-1845-B406-4B45532679DF}" name="Rozdíl" totalsRowFunction="sum" dataDxfId="14" totalsRowDxfId="13">
      <calculatedColumnFormula>Příjmy2427303336[[#This Row],[Skutečnost]]-Příjmy2427303336[[#This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7D7D6269-541F-C141-94C5-11AAAC0251D9}" name="Výdaje2528313437" displayName="Výdaje2528313437" ref="B26:E66" totalsRowCount="1" headerRowDxfId="12" dataDxfId="10" totalsRowDxfId="9" headerRowBorderDxfId="11">
  <autoFilter ref="B26:E65" xr:uid="{00000000-0009-0000-0100-000003000000}"/>
  <tableColumns count="4">
    <tableColumn id="1" xr3:uid="{1CF72D47-4893-4F45-A2A3-A132756788B3}" name="Měsíční výdaje" totalsRowLabel="Celkem" dataDxfId="8" totalsRowDxfId="7"/>
    <tableColumn id="3" xr3:uid="{374E66B2-2D09-8E42-9DEE-963146800681}" name="Předpoklad" totalsRowFunction="sum" dataDxfId="6" totalsRowDxfId="5"/>
    <tableColumn id="4" xr3:uid="{3F53EEEE-5AAC-DB47-9802-E90C8496F8DC}" name="Skutečnost" totalsRowFunction="sum" dataDxfId="4" totalsRowDxfId="3"/>
    <tableColumn id="5" xr3:uid="{9A74B8DE-10B2-1B4D-BB06-928AEF4232C0}" name="Rozdíl" totalsRowFunction="sum" dataDxfId="2" totalsRowDxfId="1">
      <calculatedColumnFormula>Výdaje2528313437[[#This Row],[Předpoklad]]-Výdaje2528313437[[#This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F4B92A1-2B2E-BF47-8C67-7DEE857635AD}" name="HotovostníTok5" displayName="HotovostníTok5" ref="B15:E18" totalsRowCount="1" headerRowDxfId="396" dataDxfId="394" totalsRowDxfId="393" headerRowBorderDxfId="395">
  <autoFilter ref="B15:E17" xr:uid="{00000000-0009-0000-0100-000001000000}"/>
  <tableColumns count="4">
    <tableColumn id="1" xr3:uid="{7C9A4962-DB62-C74C-80B5-4F23E6A8117D}" name="Hotovostní tok" totalsRowLabel="Celková hotovost" dataDxfId="392" totalsRowDxfId="391"/>
    <tableColumn id="3" xr3:uid="{87D82713-A755-A944-AE83-0D3107054248}" name="Předpoklad" totalsRowFunction="custom" dataDxfId="390" totalsRowDxfId="389">
      <totalsRowFormula>C16-C17</totalsRowFormula>
    </tableColumn>
    <tableColumn id="4" xr3:uid="{B476663E-98EE-5441-98F6-E0057296FC4C}" name="Skutečnost" totalsRowFunction="custom" dataDxfId="388" totalsRowDxfId="387">
      <totalsRowFormula>D16-D17</totalsRowFormula>
    </tableColumn>
    <tableColumn id="5" xr3:uid="{1EA108D2-A913-FD44-96C4-96C0E8ADDF5D}" name="Rozdíl" totalsRowFunction="sum" dataDxfId="386" totalsRowDxfId="385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2E573B3-CDC2-044A-BA6A-E452E1B1D46F}" name="Příjmy6" displayName="Příjmy6" ref="B20:E24" totalsRowCount="1" headerRowDxfId="384" dataDxfId="382" totalsRowDxfId="381" headerRowBorderDxfId="383">
  <autoFilter ref="B20:E23" xr:uid="{00000000-0009-0000-0100-000002000000}"/>
  <tableColumns count="4">
    <tableColumn id="1" xr3:uid="{7F88B852-FA3E-9644-9A4D-048CBE5E396D}" name="Měsíční příjmy" totalsRowLabel="Celkové příjmy" dataDxfId="380" totalsRowDxfId="379"/>
    <tableColumn id="3" xr3:uid="{8FA5F4B1-D736-D649-A82D-77CF8392C3B8}" name="Předpoklad" totalsRowFunction="sum" dataDxfId="378" totalsRowDxfId="377"/>
    <tableColumn id="4" xr3:uid="{05EC8383-7F05-B143-972E-3BE8D54E61CE}" name="Skutečnost" totalsRowFunction="average" dataDxfId="376" totalsRowDxfId="375"/>
    <tableColumn id="5" xr3:uid="{415080CD-76EF-584A-B435-FE672DE40696}" name="Rozdíl" totalsRowFunction="sum" dataDxfId="374" totalsRowDxfId="373">
      <calculatedColumnFormula>Příjmy6[[#This Row],[Skutečnost]]-Příjmy6[[#This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02EAE6-0C6D-7E4F-8F5C-425FA9A55350}" name="Výdaje7" displayName="Výdaje7" ref="B26:E66" totalsRowCount="1" headerRowDxfId="372" dataDxfId="370" totalsRowDxfId="369" headerRowBorderDxfId="371">
  <autoFilter ref="B26:E65" xr:uid="{00000000-0009-0000-0100-000003000000}"/>
  <tableColumns count="4">
    <tableColumn id="1" xr3:uid="{8AAFA77F-23B3-2345-A6C9-094743ADB58F}" name="Měsíční výdaje" totalsRowLabel="Celkem" dataDxfId="368" totalsRowDxfId="367"/>
    <tableColumn id="3" xr3:uid="{2109C16D-BE5F-804F-BC70-8BAA3BDC5B21}" name="Předpoklad" totalsRowFunction="sum" dataDxfId="366" totalsRowDxfId="365"/>
    <tableColumn id="4" xr3:uid="{23F3F86C-02FD-D64E-B90B-6A798486CB19}" name="Skutečnost" totalsRowFunction="sum" dataDxfId="364" totalsRowDxfId="363"/>
    <tableColumn id="5" xr3:uid="{B3E66FC7-61D6-FD41-86A3-1F7584EA038C}" name="Rozdíl" totalsRowFunction="sum" dataDxfId="362" totalsRowDxfId="361">
      <calculatedColumnFormula>Výdaje7[[#This Row],[Předpoklad]]-Výdaje7[[#This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C7682FF-5A8B-9E48-9DCB-236C5E446813}" name="HotovostníTok58" displayName="HotovostníTok58" ref="B15:E18" totalsRowCount="1" headerRowDxfId="360" dataDxfId="358" totalsRowDxfId="357" headerRowBorderDxfId="359">
  <autoFilter ref="B15:E17" xr:uid="{00000000-0009-0000-0100-000001000000}"/>
  <tableColumns count="4">
    <tableColumn id="1" xr3:uid="{F38BA96E-21C1-004E-899B-76E3518D18FC}" name="Hotovostní tok" totalsRowLabel="Celková hotovost" dataDxfId="356" totalsRowDxfId="355"/>
    <tableColumn id="3" xr3:uid="{284F4668-BEEF-0845-BCA3-D8820B2D2FA6}" name="Předpoklad" totalsRowFunction="custom" dataDxfId="354" totalsRowDxfId="353">
      <totalsRowFormula>C16-C17</totalsRowFormula>
    </tableColumn>
    <tableColumn id="4" xr3:uid="{6E53888B-2F93-BB46-9E6F-5C88C736E4FC}" name="Skutečnost" totalsRowFunction="custom" dataDxfId="352" totalsRowDxfId="351">
      <totalsRowFormula>D16-D17</totalsRowFormula>
    </tableColumn>
    <tableColumn id="5" xr3:uid="{CE17A622-4F2C-D44F-833B-F96EC3C8BD95}" name="Rozdíl" totalsRowFunction="sum" dataDxfId="350" totalsRowDxfId="349"/>
  </tableColumns>
  <tableStyleInfo name="Rodinný rozpočet – hotovostní tok" showFirstColumn="0" showLastColumn="0" showRowStripes="1" showColumnStripes="0"/>
  <extLst>
    <ext xmlns:x14="http://schemas.microsoft.com/office/spreadsheetml/2009/9/main" uri="{504A1905-F514-4f6f-8877-14C23A59335A}">
      <x14:table altText="Tabulka hotovostního toku" altTextSummary="Předpokládané i skutečné částky příjmů a výdajů a rozdíl těchto částek se vypočítají automatick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EE51CDD-C889-8D42-B8D3-8C6B85D9F276}" name="Příjmy69" displayName="Příjmy69" ref="B20:E24" totalsRowCount="1" headerRowDxfId="348" dataDxfId="346" totalsRowDxfId="345" headerRowBorderDxfId="347">
  <autoFilter ref="B20:E23" xr:uid="{00000000-0009-0000-0100-000002000000}"/>
  <tableColumns count="4">
    <tableColumn id="1" xr3:uid="{30386279-2B0E-0645-839B-949133689C88}" name="Měsíční příjmy" totalsRowLabel="Celkové příjmy" dataDxfId="344" totalsRowDxfId="343"/>
    <tableColumn id="3" xr3:uid="{E1C3A602-B32B-E34F-ABA2-13C0262B2AB2}" name="Předpoklad" totalsRowFunction="sum" dataDxfId="342" totalsRowDxfId="341"/>
    <tableColumn id="4" xr3:uid="{98451351-2668-3C45-B67A-4538B3B5F0F4}" name="Skutečnost" totalsRowFunction="average" dataDxfId="340" totalsRowDxfId="339"/>
    <tableColumn id="5" xr3:uid="{43B92AD0-624B-7E45-9A28-62743D84D742}" name="Rozdíl" totalsRowFunction="sum" dataDxfId="338" totalsRowDxfId="337">
      <calculatedColumnFormula>Příjmy69[[#This Row],[Skutečnost]]-Příjmy69[[#This Row],[Předpoklad]]</calculatedColumnFormula>
    </tableColumn>
  </tableColumns>
  <tableStyleInfo name="Rodinný rozpočet – příjmy" showFirstColumn="0" showLastColumn="0" showRowStripes="1" showColumnStripes="0"/>
  <extLst>
    <ext xmlns:x14="http://schemas.microsoft.com/office/spreadsheetml/2009/9/main" uri="{504A1905-F514-4f6f-8877-14C23A59335A}">
      <x14:table altText="Tabulka měsíčních příjmů" altTextSummary="Zadejte předpokládané i skutečné částky jednotlivých příjmů za měsíc. Rozdíl se vypočítá automatick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AD83A7C-85A1-B14E-86E0-9C3E6369F013}" name="Výdaje710" displayName="Výdaje710" ref="B26:E66" totalsRowCount="1" headerRowDxfId="336" dataDxfId="334" totalsRowDxfId="333" headerRowBorderDxfId="335">
  <autoFilter ref="B26:E65" xr:uid="{00000000-0009-0000-0100-000003000000}"/>
  <tableColumns count="4">
    <tableColumn id="1" xr3:uid="{3D6F896B-674A-704A-8D20-F08F0C77AFAC}" name="Měsíční výdaje" totalsRowLabel="Celkem" dataDxfId="332" totalsRowDxfId="331"/>
    <tableColumn id="3" xr3:uid="{1827B6FD-E2D5-A649-B074-350D27D59BC7}" name="Předpoklad" totalsRowFunction="sum" dataDxfId="330" totalsRowDxfId="329"/>
    <tableColumn id="4" xr3:uid="{2B299C6A-4738-9C4B-ACCE-BAF64268C198}" name="Skutečnost" totalsRowFunction="sum" dataDxfId="328" totalsRowDxfId="327"/>
    <tableColumn id="5" xr3:uid="{D0498976-1D62-6549-9E28-E6EF7577C818}" name="Rozdíl" totalsRowFunction="sum" dataDxfId="326" totalsRowDxfId="325">
      <calculatedColumnFormula>Výdaje710[[#This Row],[Předpoklad]]-Výdaje710[[#This Row],[Skutečnost]]</calculatedColumnFormula>
    </tableColumn>
  </tableColumns>
  <tableStyleInfo name="Rodinný rozpočet – výdaje" showFirstColumn="0" showLastColumn="0" showRowStripes="1" showColumnStripes="0"/>
  <extLst>
    <ext xmlns:x14="http://schemas.microsoft.com/office/spreadsheetml/2009/9/main" uri="{504A1905-F514-4f6f-8877-14C23A59335A}">
      <x14:table altText="Tabulka měsíčních výdajů" altTextSummary="Zadejte předpokládané i skutečné měsíční výdaje za jednotlivé položky. Rozdíl se vypočítá automaticky.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032027"/>
      </a:dk2>
      <a:lt2>
        <a:srgbClr val="F1F0EE"/>
      </a:lt2>
      <a:accent1>
        <a:srgbClr val="0EAACF"/>
      </a:accent1>
      <a:accent2>
        <a:srgbClr val="A1D23A"/>
      </a:accent2>
      <a:accent3>
        <a:srgbClr val="F6893A"/>
      </a:accent3>
      <a:accent4>
        <a:srgbClr val="995487"/>
      </a:accent4>
      <a:accent5>
        <a:srgbClr val="BFA26E"/>
      </a:accent5>
      <a:accent6>
        <a:srgbClr val="DE5959"/>
      </a:accent6>
      <a:hlink>
        <a:srgbClr val="E85787"/>
      </a:hlink>
      <a:folHlink>
        <a:srgbClr val="0EAACF"/>
      </a:folHlink>
    </a:clrScheme>
    <a:fontScheme name="Family budge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table" Target="../tables/table30.xml"/><Relationship Id="rId4" Type="http://schemas.openxmlformats.org/officeDocument/2006/relationships/table" Target="../tables/table2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table" Target="../tables/table36.xml"/><Relationship Id="rId4" Type="http://schemas.openxmlformats.org/officeDocument/2006/relationships/table" Target="../tables/table3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21.xml"/><Relationship Id="rId5" Type="http://schemas.openxmlformats.org/officeDocument/2006/relationships/table" Target="../tables/table20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24.xml"/><Relationship Id="rId4" Type="http://schemas.openxmlformats.org/officeDocument/2006/relationships/table" Target="../tables/table2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E66"/>
  <sheetViews>
    <sheetView showGridLines="0" tabSelected="1" zoomScale="125" zoomScaleNormal="125" workbookViewId="0">
      <selection activeCell="B13" sqref="B13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22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Příjmy[[#Totals],[Předpoklad]]</f>
        <v>53000</v>
      </c>
      <c r="D16" s="15">
        <f>Příjmy[[#Totals],[Skutečnost]]</f>
        <v>52900</v>
      </c>
      <c r="E16" s="15">
        <f>Příjmy[[#Totals],[Rozdíl]]</f>
        <v>-100</v>
      </c>
    </row>
    <row r="17" spans="2:5" x14ac:dyDescent="0.2">
      <c r="B17" s="6" t="s">
        <v>5</v>
      </c>
      <c r="C17" s="15">
        <f>Výdaje[[#Totals],[Předpoklad]]</f>
        <v>0</v>
      </c>
      <c r="D17" s="15">
        <f>Výdaje[[#Totals],[Skutečnost]]</f>
        <v>0</v>
      </c>
      <c r="E17" s="15">
        <f>Výdaje[[#Totals],[Rozdíl]]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52900</v>
      </c>
      <c r="E18" s="5">
        <f>SUBTOTAL(109,HotovostníTok[Rozdíl])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Příjmy[[#This Row],[Skutečnost]]-Příjmy[[#This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Příjmy[[#This Row],[Skutečnost]]-Příjmy[[#This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Příjmy[[#This Row],[Skutečnost]]-Příjmy[[#This Row],[Předpoklad]]</f>
        <v>0</v>
      </c>
    </row>
    <row r="24" spans="2:5" x14ac:dyDescent="0.2">
      <c r="B24" s="6" t="s">
        <v>4</v>
      </c>
      <c r="C24" s="5">
        <f>SUBTOTAL(109,Příjmy[Předpoklad])</f>
        <v>53000</v>
      </c>
      <c r="D24" s="5">
        <f>SUBTOTAL(109,Příjmy[Skutečnost])</f>
        <v>52900</v>
      </c>
      <c r="E24" s="5">
        <f>SUBTOTAL(109,Příjmy[Rozdíl])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Výdaje[[#This Row],[Předpoklad]]-Výdaje[[#This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Výdaje[[#This Row],[Předpoklad]]-Výdaje[[#This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Výdaje[[#This Row],[Předpoklad]]-Výdaje[[#This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Výdaje[[#This Row],[Předpoklad]]-Výdaje[[#This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Výdaje[[#This Row],[Předpoklad]]-Výdaje[[#This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Výdaje[[#This Row],[Předpoklad]]-Výdaje[[#This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Výdaje[[#This Row],[Předpoklad]]-Výdaje[[#This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Výdaje[[#This Row],[Předpoklad]]-Výdaje[[#This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Výdaje[[#This Row],[Předpoklad]]-Výdaje[[#This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Výdaje[[#This Row],[Předpoklad]]-Výdaje[[#This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Výdaje[[#This Row],[Předpoklad]]-Výdaje[[#This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Výdaje[[#This Row],[Předpoklad]]-Výdaje[[#This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Výdaje[[#This Row],[Předpoklad]]-Výdaje[[#This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Výdaje[[#This Row],[Předpoklad]]-Výdaje[[#This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Výdaje[[#This Row],[Předpoklad]]-Výdaje[[#This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Výdaje[[#This Row],[Předpoklad]]-Výdaje[[#This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Výdaje[[#This Row],[Předpoklad]]-Výdaje[[#This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Výdaje[[#This Row],[Předpoklad]]-Výdaje[[#This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Výdaje[[#This Row],[Předpoklad]]-Výdaje[[#This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Výdaje[[#This Row],[Předpoklad]]-Výdaje[[#This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Výdaje[[#This Row],[Předpoklad]]-Výdaje[[#This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Výdaje[[#This Row],[Předpoklad]]-Výdaje[[#This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Výdaje[[#This Row],[Předpoklad]]-Výdaje[[#This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Výdaje[[#This Row],[Předpoklad]]-Výdaje[[#This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Výdaje[[#This Row],[Předpoklad]]-Výdaje[[#This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Výdaje[[#This Row],[Předpoklad]]-Výdaje[[#This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Výdaje[[#This Row],[Předpoklad]]-Výdaje[[#This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Výdaje[[#This Row],[Předpoklad]]-Výdaje[[#This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Výdaje[[#This Row],[Předpoklad]]-Výdaje[[#This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Výdaje[[#This Row],[Předpoklad]]-Výdaje[[#This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Výdaje[[#This Row],[Předpoklad]]-Výdaje[[#This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Výdaje[[#This Row],[Předpoklad]]-Výdaje[[#This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Výdaje[[#This Row],[Předpoklad]]-Výdaje[[#This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Výdaje[[#This Row],[Předpoklad]]-Výdaje[[#This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Výdaje[[#This Row],[Předpoklad]]-Výdaje[[#This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Výdaje[[#This Row],[Předpoklad]]-Výdaje[[#This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Výdaje[[#This Row],[Předpoklad]]-Výdaje[[#This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Výdaje[[#This Row],[Předpoklad]]-Výdaje[[#This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Výdaje[[#This Row],[Předpoklad]]-Výdaje[[#This Row],[Skutečnost]]</f>
        <v>0</v>
      </c>
    </row>
    <row r="66" spans="2:5" x14ac:dyDescent="0.2">
      <c r="B66" s="6" t="s">
        <v>17</v>
      </c>
      <c r="C66" s="5">
        <f>SUBTOTAL(109,Výdaje[Předpoklad])</f>
        <v>0</v>
      </c>
      <c r="D66" s="5">
        <f>SUBTOTAL(109,Výdaje[Skutečnost])</f>
        <v>0</v>
      </c>
      <c r="E66" s="5">
        <f>SUBTOTAL(109,Výdaje[Rozdíl])</f>
        <v>0</v>
      </c>
    </row>
  </sheetData>
  <sheetProtection algorithmName="SHA-512" hashValue="W1BshWvXSWAEj0FgQXBQOaQ+QZMu+eqcF4JWJTe5yg7IVgLh7isOsW/t7OhwTozjuARM8Tf21RK5/ieH5fSgBA==" saltValue="mxz9qRztesZQft43wL/n7g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70BE87D5-6E62-4533-88AE-53E31B3F506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13" id="{C714391E-7AC2-47BB-A40C-EB62AF118C1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14" id="{D5790763-7D03-40F8-9AD3-2A345FE0F3B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BBA1E-A013-BC4F-B07F-3F3A242B9B13}">
  <sheetPr>
    <tabColor theme="4"/>
    <pageSetUpPr autoPageBreaks="0" fitToPage="1"/>
  </sheetPr>
  <dimension ref="B1:E66"/>
  <sheetViews>
    <sheetView showGridLines="0" zoomScale="125" zoomScaleNormal="125" workbookViewId="0">
      <selection activeCell="B12" sqref="B12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57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Příjmy242730[[#Totals],[Předpoklad]]</f>
        <v>53000</v>
      </c>
      <c r="D16" s="15">
        <f>Příjmy242730[[#Totals],[Skutečnost]]</f>
        <v>17633.333333333332</v>
      </c>
      <c r="E16" s="15">
        <f>Příjmy242730[[#Totals],[Rozdíl]]</f>
        <v>-100</v>
      </c>
    </row>
    <row r="17" spans="2:5" x14ac:dyDescent="0.2">
      <c r="B17" s="6" t="s">
        <v>5</v>
      </c>
      <c r="C17" s="15">
        <f>Výdaje252831[[#Totals],[Předpoklad]]</f>
        <v>0</v>
      </c>
      <c r="D17" s="15">
        <f>Výdaje252831[[#Totals],[Skutečnost]]</f>
        <v>0</v>
      </c>
      <c r="E17" s="15">
        <f>Výdaje252831[[#Totals],[Rozdíl]]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SUBTOTAL(109,HotovostníTok232629[Rozdíl])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Příjmy242730[[#This Row],[Skutečnost]]-Příjmy242730[[#This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Příjmy242730[[#This Row],[Skutečnost]]-Příjmy242730[[#This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Příjmy242730[[#This Row],[Skutečnost]]-Příjmy242730[[#This Row],[Předpoklad]]</f>
        <v>0</v>
      </c>
    </row>
    <row r="24" spans="2:5" x14ac:dyDescent="0.2">
      <c r="B24" s="6" t="s">
        <v>4</v>
      </c>
      <c r="C24" s="5">
        <f>SUBTOTAL(109,Příjmy242730[Předpoklad])</f>
        <v>53000</v>
      </c>
      <c r="D24" s="5">
        <f>SUBTOTAL(101,Příjmy242730[Skutečnost])</f>
        <v>17633.333333333332</v>
      </c>
      <c r="E24" s="5">
        <f>SUBTOTAL(109,Příjmy242730[Rozdíl])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Výdaje252831[[#This Row],[Předpoklad]]-Výdaje252831[[#This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Výdaje252831[[#This Row],[Předpoklad]]-Výdaje252831[[#This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Výdaje252831[[#This Row],[Předpoklad]]-Výdaje252831[[#This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Výdaje252831[[#This Row],[Předpoklad]]-Výdaje252831[[#This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Výdaje252831[[#This Row],[Předpoklad]]-Výdaje252831[[#This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Výdaje252831[[#This Row],[Předpoklad]]-Výdaje252831[[#This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Výdaje252831[[#This Row],[Předpoklad]]-Výdaje252831[[#This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Výdaje252831[[#This Row],[Předpoklad]]-Výdaje252831[[#This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Výdaje252831[[#This Row],[Předpoklad]]-Výdaje252831[[#This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Výdaje252831[[#This Row],[Předpoklad]]-Výdaje252831[[#This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Výdaje252831[[#This Row],[Předpoklad]]-Výdaje252831[[#This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Výdaje252831[[#This Row],[Předpoklad]]-Výdaje252831[[#This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Výdaje252831[[#This Row],[Předpoklad]]-Výdaje252831[[#This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Výdaje252831[[#This Row],[Předpoklad]]-Výdaje252831[[#This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Výdaje252831[[#This Row],[Předpoklad]]-Výdaje252831[[#This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Výdaje252831[[#This Row],[Předpoklad]]-Výdaje252831[[#This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Výdaje252831[[#This Row],[Předpoklad]]-Výdaje252831[[#This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Výdaje252831[[#This Row],[Předpoklad]]-Výdaje252831[[#This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Výdaje252831[[#This Row],[Předpoklad]]-Výdaje252831[[#This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Výdaje252831[[#This Row],[Předpoklad]]-Výdaje252831[[#This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Výdaje252831[[#This Row],[Předpoklad]]-Výdaje252831[[#This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Výdaje252831[[#This Row],[Předpoklad]]-Výdaje252831[[#This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Výdaje252831[[#This Row],[Předpoklad]]-Výdaje252831[[#This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Výdaje252831[[#This Row],[Předpoklad]]-Výdaje252831[[#This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Výdaje252831[[#This Row],[Předpoklad]]-Výdaje252831[[#This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Výdaje252831[[#This Row],[Předpoklad]]-Výdaje252831[[#This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Výdaje252831[[#This Row],[Předpoklad]]-Výdaje252831[[#This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Výdaje252831[[#This Row],[Předpoklad]]-Výdaje252831[[#This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Výdaje252831[[#This Row],[Předpoklad]]-Výdaje252831[[#This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Výdaje252831[[#This Row],[Předpoklad]]-Výdaje252831[[#This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Výdaje252831[[#This Row],[Předpoklad]]-Výdaje252831[[#This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Výdaje252831[[#This Row],[Předpoklad]]-Výdaje252831[[#This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Výdaje252831[[#This Row],[Předpoklad]]-Výdaje252831[[#This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Výdaje252831[[#This Row],[Předpoklad]]-Výdaje252831[[#This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Výdaje252831[[#This Row],[Předpoklad]]-Výdaje252831[[#This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Výdaje252831[[#This Row],[Předpoklad]]-Výdaje252831[[#This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Výdaje252831[[#This Row],[Předpoklad]]-Výdaje252831[[#This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Výdaje252831[[#This Row],[Předpoklad]]-Výdaje252831[[#This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Výdaje252831[[#This Row],[Předpoklad]]-Výdaje252831[[#This Row],[Skutečnost]]</f>
        <v>0</v>
      </c>
    </row>
    <row r="66" spans="2:5" x14ac:dyDescent="0.2">
      <c r="B66" s="6" t="s">
        <v>17</v>
      </c>
      <c r="C66" s="5">
        <f>SUBTOTAL(109,Výdaje252831[Předpoklad])</f>
        <v>0</v>
      </c>
      <c r="D66" s="5">
        <f>SUBTOTAL(109,Výdaje252831[Skutečnost])</f>
        <v>0</v>
      </c>
      <c r="E66" s="5">
        <f>SUBTOTAL(109,Výdaje252831[Rozdíl])</f>
        <v>0</v>
      </c>
    </row>
  </sheetData>
  <sheetProtection algorithmName="SHA-512" hashValue="lOPvc4HboBc+SNBjXOOTBFnl+z5HYHbjfyYgWda7zmRz5ntXBxU/fcc4FWpVH9JIWyLSpzRdCMZizZ6DO3AwAQ==" saltValue="fDGGH4E58PIvs2Fa05Tihg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C38221E-1129-664A-8643-F461A7935D3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685F5CA5-F607-994E-BDB8-922101DAC81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D4079291-BA7A-A848-A1B8-0A3038FE8F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D88C6-D0C1-A84C-8079-D98FA643F1FE}">
  <sheetPr>
    <tabColor theme="4"/>
    <pageSetUpPr autoPageBreaks="0" fitToPage="1"/>
  </sheetPr>
  <dimension ref="B1:E66"/>
  <sheetViews>
    <sheetView showGridLines="0" zoomScale="125" zoomScaleNormal="125" workbookViewId="0">
      <selection activeCell="H10" sqref="H10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56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Příjmy24273033[[#Totals],[Předpoklad]]</f>
        <v>53000</v>
      </c>
      <c r="D16" s="15">
        <f>Příjmy24273033[[#Totals],[Skutečnost]]</f>
        <v>17633.333333333332</v>
      </c>
      <c r="E16" s="15">
        <f>Příjmy24273033[[#Totals],[Rozdíl]]</f>
        <v>-100</v>
      </c>
    </row>
    <row r="17" spans="2:5" x14ac:dyDescent="0.2">
      <c r="B17" s="6" t="s">
        <v>5</v>
      </c>
      <c r="C17" s="15">
        <f>Výdaje25283134[[#Totals],[Předpoklad]]</f>
        <v>0</v>
      </c>
      <c r="D17" s="15">
        <f>Výdaje25283134[[#Totals],[Skutečnost]]</f>
        <v>0</v>
      </c>
      <c r="E17" s="15">
        <f>Výdaje25283134[[#Totals],[Rozdíl]]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SUBTOTAL(109,HotovostníTok23262932[Rozdíl])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Příjmy24273033[[#This Row],[Skutečnost]]-Příjmy24273033[[#This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Příjmy24273033[[#This Row],[Skutečnost]]-Příjmy24273033[[#This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Příjmy24273033[[#This Row],[Skutečnost]]-Příjmy24273033[[#This Row],[Předpoklad]]</f>
        <v>0</v>
      </c>
    </row>
    <row r="24" spans="2:5" x14ac:dyDescent="0.2">
      <c r="B24" s="6" t="s">
        <v>4</v>
      </c>
      <c r="C24" s="5">
        <f>SUBTOTAL(109,Příjmy24273033[Předpoklad])</f>
        <v>53000</v>
      </c>
      <c r="D24" s="5">
        <f>SUBTOTAL(101,Příjmy24273033[Skutečnost])</f>
        <v>17633.333333333332</v>
      </c>
      <c r="E24" s="5">
        <f>SUBTOTAL(109,Příjmy24273033[Rozdíl])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Výdaje25283134[[#This Row],[Předpoklad]]-Výdaje25283134[[#This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Výdaje25283134[[#This Row],[Předpoklad]]-Výdaje25283134[[#This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Výdaje25283134[[#This Row],[Předpoklad]]-Výdaje25283134[[#This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Výdaje25283134[[#This Row],[Předpoklad]]-Výdaje25283134[[#This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Výdaje25283134[[#This Row],[Předpoklad]]-Výdaje25283134[[#This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Výdaje25283134[[#This Row],[Předpoklad]]-Výdaje25283134[[#This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Výdaje25283134[[#This Row],[Předpoklad]]-Výdaje25283134[[#This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Výdaje25283134[[#This Row],[Předpoklad]]-Výdaje25283134[[#This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Výdaje25283134[[#This Row],[Předpoklad]]-Výdaje25283134[[#This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Výdaje25283134[[#This Row],[Předpoklad]]-Výdaje25283134[[#This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Výdaje25283134[[#This Row],[Předpoklad]]-Výdaje25283134[[#This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Výdaje25283134[[#This Row],[Předpoklad]]-Výdaje25283134[[#This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Výdaje25283134[[#This Row],[Předpoklad]]-Výdaje25283134[[#This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Výdaje25283134[[#This Row],[Předpoklad]]-Výdaje25283134[[#This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Výdaje25283134[[#This Row],[Předpoklad]]-Výdaje25283134[[#This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Výdaje25283134[[#This Row],[Předpoklad]]-Výdaje25283134[[#This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Výdaje25283134[[#This Row],[Předpoklad]]-Výdaje25283134[[#This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Výdaje25283134[[#This Row],[Předpoklad]]-Výdaje25283134[[#This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Výdaje25283134[[#This Row],[Předpoklad]]-Výdaje25283134[[#This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Výdaje25283134[[#This Row],[Předpoklad]]-Výdaje25283134[[#This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Výdaje25283134[[#This Row],[Předpoklad]]-Výdaje25283134[[#This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Výdaje25283134[[#This Row],[Předpoklad]]-Výdaje25283134[[#This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Výdaje25283134[[#This Row],[Předpoklad]]-Výdaje25283134[[#This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Výdaje25283134[[#This Row],[Předpoklad]]-Výdaje25283134[[#This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Výdaje25283134[[#This Row],[Předpoklad]]-Výdaje25283134[[#This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Výdaje25283134[[#This Row],[Předpoklad]]-Výdaje25283134[[#This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Výdaje25283134[[#This Row],[Předpoklad]]-Výdaje25283134[[#This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Výdaje25283134[[#This Row],[Předpoklad]]-Výdaje25283134[[#This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Výdaje25283134[[#This Row],[Předpoklad]]-Výdaje25283134[[#This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Výdaje25283134[[#This Row],[Předpoklad]]-Výdaje25283134[[#This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Výdaje25283134[[#This Row],[Předpoklad]]-Výdaje25283134[[#This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Výdaje25283134[[#This Row],[Předpoklad]]-Výdaje25283134[[#This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Výdaje25283134[[#This Row],[Předpoklad]]-Výdaje25283134[[#This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Výdaje25283134[[#This Row],[Předpoklad]]-Výdaje25283134[[#This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Výdaje25283134[[#This Row],[Předpoklad]]-Výdaje25283134[[#This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Výdaje25283134[[#This Row],[Předpoklad]]-Výdaje25283134[[#This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Výdaje25283134[[#This Row],[Předpoklad]]-Výdaje25283134[[#This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Výdaje25283134[[#This Row],[Předpoklad]]-Výdaje25283134[[#This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Výdaje25283134[[#This Row],[Předpoklad]]-Výdaje25283134[[#This Row],[Skutečnost]]</f>
        <v>0</v>
      </c>
    </row>
    <row r="66" spans="2:5" x14ac:dyDescent="0.2">
      <c r="B66" s="6" t="s">
        <v>17</v>
      </c>
      <c r="C66" s="5">
        <f>SUBTOTAL(109,Výdaje25283134[Předpoklad])</f>
        <v>0</v>
      </c>
      <c r="D66" s="5">
        <f>SUBTOTAL(109,Výdaje25283134[Skutečnost])</f>
        <v>0</v>
      </c>
      <c r="E66" s="5">
        <f>SUBTOTAL(109,Výdaje25283134[Rozdíl])</f>
        <v>0</v>
      </c>
    </row>
  </sheetData>
  <sheetProtection algorithmName="SHA-512" hashValue="z8s40nwjpXAgWZ3lJGoZM4gHKPoQDD7M8Zljtous6xwNnVVDh8hAbLaz8PYog5+jk2o1Q5Za1kcL/xIWzAuWyw==" saltValue="gr5j2h6kuJcuH/ftvkP+8A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D401D2B-7505-4D47-94B1-A76A99883C2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9234E96D-2549-734C-A353-A3994C59665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85A1F895-9B1B-B949-88B3-A7F8CF6ACB88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C844D-479A-1B4C-9931-D56932C3C437}">
  <sheetPr>
    <tabColor theme="4"/>
    <pageSetUpPr autoPageBreaks="0" fitToPage="1"/>
  </sheetPr>
  <dimension ref="B1:E66"/>
  <sheetViews>
    <sheetView showGridLines="0" zoomScale="125" zoomScaleNormal="125" workbookViewId="0">
      <selection activeCell="B11" sqref="B11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55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Příjmy2427303336[[#Totals],[Předpoklad]]</f>
        <v>53000</v>
      </c>
      <c r="D16" s="15">
        <f>Příjmy2427303336[[#Totals],[Skutečnost]]</f>
        <v>17633.333333333332</v>
      </c>
      <c r="E16" s="15">
        <f>Příjmy2427303336[[#Totals],[Rozdíl]]</f>
        <v>-100</v>
      </c>
    </row>
    <row r="17" spans="2:5" x14ac:dyDescent="0.2">
      <c r="B17" s="6" t="s">
        <v>5</v>
      </c>
      <c r="C17" s="15">
        <f>Výdaje2528313437[[#Totals],[Předpoklad]]</f>
        <v>0</v>
      </c>
      <c r="D17" s="15">
        <f>Výdaje2528313437[[#Totals],[Skutečnost]]</f>
        <v>0</v>
      </c>
      <c r="E17" s="15">
        <f>Výdaje2528313437[[#Totals],[Rozdíl]]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SUBTOTAL(109,HotovostníTok2326293235[Rozdíl])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Příjmy2427303336[[#This Row],[Skutečnost]]-Příjmy2427303336[[#This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Příjmy2427303336[[#This Row],[Skutečnost]]-Příjmy2427303336[[#This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Příjmy2427303336[[#This Row],[Skutečnost]]-Příjmy2427303336[[#This Row],[Předpoklad]]</f>
        <v>0</v>
      </c>
    </row>
    <row r="24" spans="2:5" x14ac:dyDescent="0.2">
      <c r="B24" s="6" t="s">
        <v>4</v>
      </c>
      <c r="C24" s="5">
        <f>SUBTOTAL(109,Příjmy2427303336[Předpoklad])</f>
        <v>53000</v>
      </c>
      <c r="D24" s="5">
        <f>SUBTOTAL(101,Příjmy2427303336[Skutečnost])</f>
        <v>17633.333333333332</v>
      </c>
      <c r="E24" s="5">
        <f>SUBTOTAL(109,Příjmy2427303336[Rozdíl])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Výdaje2528313437[[#This Row],[Předpoklad]]-Výdaje2528313437[[#This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Výdaje2528313437[[#This Row],[Předpoklad]]-Výdaje2528313437[[#This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Výdaje2528313437[[#This Row],[Předpoklad]]-Výdaje2528313437[[#This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Výdaje2528313437[[#This Row],[Předpoklad]]-Výdaje2528313437[[#This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Výdaje2528313437[[#This Row],[Předpoklad]]-Výdaje2528313437[[#This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Výdaje2528313437[[#This Row],[Předpoklad]]-Výdaje2528313437[[#This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Výdaje2528313437[[#This Row],[Předpoklad]]-Výdaje2528313437[[#This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Výdaje2528313437[[#This Row],[Předpoklad]]-Výdaje2528313437[[#This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Výdaje2528313437[[#This Row],[Předpoklad]]-Výdaje2528313437[[#This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Výdaje2528313437[[#This Row],[Předpoklad]]-Výdaje2528313437[[#This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Výdaje2528313437[[#This Row],[Předpoklad]]-Výdaje2528313437[[#This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Výdaje2528313437[[#This Row],[Předpoklad]]-Výdaje2528313437[[#This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Výdaje2528313437[[#This Row],[Předpoklad]]-Výdaje2528313437[[#This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Výdaje2528313437[[#This Row],[Předpoklad]]-Výdaje2528313437[[#This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Výdaje2528313437[[#This Row],[Předpoklad]]-Výdaje2528313437[[#This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Výdaje2528313437[[#This Row],[Předpoklad]]-Výdaje2528313437[[#This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Výdaje2528313437[[#This Row],[Předpoklad]]-Výdaje2528313437[[#This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Výdaje2528313437[[#This Row],[Předpoklad]]-Výdaje2528313437[[#This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Výdaje2528313437[[#This Row],[Předpoklad]]-Výdaje2528313437[[#This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Výdaje2528313437[[#This Row],[Předpoklad]]-Výdaje2528313437[[#This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Výdaje2528313437[[#This Row],[Předpoklad]]-Výdaje2528313437[[#This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Výdaje2528313437[[#This Row],[Předpoklad]]-Výdaje2528313437[[#This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Výdaje2528313437[[#This Row],[Předpoklad]]-Výdaje2528313437[[#This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Výdaje2528313437[[#This Row],[Předpoklad]]-Výdaje2528313437[[#This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Výdaje2528313437[[#This Row],[Předpoklad]]-Výdaje2528313437[[#This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Výdaje2528313437[[#This Row],[Předpoklad]]-Výdaje2528313437[[#This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Výdaje2528313437[[#This Row],[Předpoklad]]-Výdaje2528313437[[#This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Výdaje2528313437[[#This Row],[Předpoklad]]-Výdaje2528313437[[#This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Výdaje2528313437[[#This Row],[Předpoklad]]-Výdaje2528313437[[#This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Výdaje2528313437[[#This Row],[Předpoklad]]-Výdaje2528313437[[#This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Výdaje2528313437[[#This Row],[Předpoklad]]-Výdaje2528313437[[#This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Výdaje2528313437[[#This Row],[Předpoklad]]-Výdaje2528313437[[#This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Výdaje2528313437[[#This Row],[Předpoklad]]-Výdaje2528313437[[#This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Výdaje2528313437[[#This Row],[Předpoklad]]-Výdaje2528313437[[#This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Výdaje2528313437[[#This Row],[Předpoklad]]-Výdaje2528313437[[#This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Výdaje2528313437[[#This Row],[Předpoklad]]-Výdaje2528313437[[#This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Výdaje2528313437[[#This Row],[Předpoklad]]-Výdaje2528313437[[#This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Výdaje2528313437[[#This Row],[Předpoklad]]-Výdaje2528313437[[#This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Výdaje2528313437[[#This Row],[Předpoklad]]-Výdaje2528313437[[#This Row],[Skutečnost]]</f>
        <v>0</v>
      </c>
    </row>
    <row r="66" spans="2:5" x14ac:dyDescent="0.2">
      <c r="B66" s="6" t="s">
        <v>17</v>
      </c>
      <c r="C66" s="5">
        <f>SUBTOTAL(109,Výdaje2528313437[Předpoklad])</f>
        <v>0</v>
      </c>
      <c r="D66" s="5">
        <f>SUBTOTAL(109,Výdaje2528313437[Skutečnost])</f>
        <v>0</v>
      </c>
      <c r="E66" s="5">
        <f>SUBTOTAL(109,Výdaje2528313437[Rozdíl])</f>
        <v>0</v>
      </c>
    </row>
  </sheetData>
  <sheetProtection algorithmName="SHA-512" hashValue="/W+0U3IZfNE5cCzCdQbF2jw2Q9ykBPRZS+oDcF360IqJbeEAunnQKlcbJlqBh6pnoNyxJqlgiw+5G95CxYd+UQ==" saltValue="pQ47CaHkgxM2BwTmCQNORQ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26D067B-3FB7-C745-9109-840C337035B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D131B936-69D0-604E-9CE9-B12229B3007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D0D7F6E0-0289-884F-AFB1-F87D168F4A8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/>
  </sheetPr>
  <dimension ref="B2:D7"/>
  <sheetViews>
    <sheetView showGridLines="0" zoomScale="125" zoomScaleNormal="125" workbookViewId="0"/>
  </sheetViews>
  <sheetFormatPr baseColWidth="10" defaultColWidth="8.7109375" defaultRowHeight="17" x14ac:dyDescent="0.2"/>
  <cols>
    <col min="1" max="1" width="1.7109375" customWidth="1"/>
    <col min="2" max="2" width="14.7109375" customWidth="1"/>
    <col min="3" max="4" width="12.42578125" customWidth="1"/>
  </cols>
  <sheetData>
    <row r="2" spans="2:4" ht="40" x14ac:dyDescent="0.2">
      <c r="B2" s="1" t="s">
        <v>21</v>
      </c>
      <c r="C2" s="1"/>
      <c r="D2" s="1"/>
    </row>
    <row r="4" spans="2:4" x14ac:dyDescent="0.2">
      <c r="B4" s="2"/>
      <c r="C4" s="2" t="s">
        <v>18</v>
      </c>
      <c r="D4" s="2" t="s">
        <v>19</v>
      </c>
    </row>
    <row r="5" spans="2:4" x14ac:dyDescent="0.2">
      <c r="B5" s="2" t="s">
        <v>3</v>
      </c>
      <c r="C5" s="2">
        <f>HotovostníTok[[#Totals],[Předpoklad]]</f>
        <v>53000</v>
      </c>
      <c r="D5" s="2">
        <f>HotovostníTok[[#Totals],[Skutečnost]]</f>
        <v>52900</v>
      </c>
    </row>
    <row r="6" spans="2:4" x14ac:dyDescent="0.2">
      <c r="B6" s="2" t="s">
        <v>7</v>
      </c>
      <c r="C6" s="3">
        <f>leden!C24</f>
        <v>53000</v>
      </c>
      <c r="D6" s="3">
        <f>leden!D24</f>
        <v>52900</v>
      </c>
    </row>
    <row r="7" spans="2:4" x14ac:dyDescent="0.2">
      <c r="B7" s="2" t="s">
        <v>11</v>
      </c>
      <c r="C7" s="3">
        <f>leden!C66</f>
        <v>0</v>
      </c>
      <c r="D7" s="3">
        <f>leden!D66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5DE3-57AF-7444-A558-27CB7C7D76C6}">
  <sheetPr>
    <tabColor theme="4"/>
    <pageSetUpPr autoPageBreaks="0" fitToPage="1"/>
  </sheetPr>
  <dimension ref="B1:E66"/>
  <sheetViews>
    <sheetView showGridLines="0" zoomScale="125" zoomScaleNormal="125" workbookViewId="0">
      <selection activeCell="H19" sqref="H19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65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Příjmy6[[#Totals],[Předpoklad]]</f>
        <v>53000</v>
      </c>
      <c r="D16" s="15">
        <f>Příjmy6[[#Totals],[Skutečnost]]</f>
        <v>17633.333333333332</v>
      </c>
      <c r="E16" s="15">
        <f>Příjmy6[[#Totals],[Rozdíl]]</f>
        <v>-100</v>
      </c>
    </row>
    <row r="17" spans="2:5" x14ac:dyDescent="0.2">
      <c r="B17" s="6" t="s">
        <v>5</v>
      </c>
      <c r="C17" s="15">
        <f>Výdaje7[[#Totals],[Předpoklad]]</f>
        <v>0</v>
      </c>
      <c r="D17" s="15">
        <f>Výdaje7[[#Totals],[Skutečnost]]</f>
        <v>0</v>
      </c>
      <c r="E17" s="15">
        <f>Výdaje7[[#Totals],[Rozdíl]]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Příjmy6[[#This Row],[Skutečnost]]-Příjmy6[[#This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Příjmy6[[#This Row],[Skutečnost]]-Příjmy6[[#This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Příjmy6[[#This Row],[Skutečnost]]-Příjmy6[[#This Row],[Předpoklad]]</f>
        <v>0</v>
      </c>
    </row>
    <row r="24" spans="2:5" x14ac:dyDescent="0.2">
      <c r="B24" s="6" t="s">
        <v>4</v>
      </c>
      <c r="C24" s="5">
        <f>SUBTOTAL(109,Příjmy6[Předpoklad])</f>
        <v>53000</v>
      </c>
      <c r="D24" s="5">
        <f>SUBTOTAL(101,Příjmy6[Skutečnost])</f>
        <v>17633.333333333332</v>
      </c>
      <c r="E24" s="5">
        <f>SUBTOTAL(109,Příjmy6[Rozdíl])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Výdaje7[[#This Row],[Předpoklad]]-Výdaje7[[#This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Výdaje7[[#This Row],[Předpoklad]]-Výdaje7[[#This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Výdaje7[[#This Row],[Předpoklad]]-Výdaje7[[#This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Výdaje7[[#This Row],[Předpoklad]]-Výdaje7[[#This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Výdaje7[[#This Row],[Předpoklad]]-Výdaje7[[#This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Výdaje7[[#This Row],[Předpoklad]]-Výdaje7[[#This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Výdaje7[[#This Row],[Předpoklad]]-Výdaje7[[#This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Výdaje7[[#This Row],[Předpoklad]]-Výdaje7[[#This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Výdaje7[[#This Row],[Předpoklad]]-Výdaje7[[#This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Výdaje7[[#This Row],[Předpoklad]]-Výdaje7[[#This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Výdaje7[[#This Row],[Předpoklad]]-Výdaje7[[#This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Výdaje7[[#This Row],[Předpoklad]]-Výdaje7[[#This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Výdaje7[[#This Row],[Předpoklad]]-Výdaje7[[#This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Výdaje7[[#This Row],[Předpoklad]]-Výdaje7[[#This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Výdaje7[[#This Row],[Předpoklad]]-Výdaje7[[#This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Výdaje7[[#This Row],[Předpoklad]]-Výdaje7[[#This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Výdaje7[[#This Row],[Předpoklad]]-Výdaje7[[#This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Výdaje7[[#This Row],[Předpoklad]]-Výdaje7[[#This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Výdaje7[[#This Row],[Předpoklad]]-Výdaje7[[#This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Výdaje7[[#This Row],[Předpoklad]]-Výdaje7[[#This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Výdaje7[[#This Row],[Předpoklad]]-Výdaje7[[#This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Výdaje7[[#This Row],[Předpoklad]]-Výdaje7[[#This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Výdaje7[[#This Row],[Předpoklad]]-Výdaje7[[#This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Výdaje7[[#This Row],[Předpoklad]]-Výdaje7[[#This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Výdaje7[[#This Row],[Předpoklad]]-Výdaje7[[#This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Výdaje7[[#This Row],[Předpoklad]]-Výdaje7[[#This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Výdaje7[[#This Row],[Předpoklad]]-Výdaje7[[#This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Výdaje7[[#This Row],[Předpoklad]]-Výdaje7[[#This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Výdaje7[[#This Row],[Předpoklad]]-Výdaje7[[#This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Výdaje7[[#This Row],[Předpoklad]]-Výdaje7[[#This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Výdaje7[[#This Row],[Předpoklad]]-Výdaje7[[#This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Výdaje7[[#This Row],[Předpoklad]]-Výdaje7[[#This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Výdaje7[[#This Row],[Předpoklad]]-Výdaje7[[#This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Výdaje7[[#This Row],[Předpoklad]]-Výdaje7[[#This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Výdaje7[[#This Row],[Předpoklad]]-Výdaje7[[#This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Výdaje7[[#This Row],[Předpoklad]]-Výdaje7[[#This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Výdaje7[[#This Row],[Předpoklad]]-Výdaje7[[#This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Výdaje7[[#This Row],[Předpoklad]]-Výdaje7[[#This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Výdaje7[[#This Row],[Předpoklad]]-Výdaje7[[#This Row],[Skutečnost]]</f>
        <v>0</v>
      </c>
    </row>
    <row r="66" spans="2:5" x14ac:dyDescent="0.2">
      <c r="B66" s="6" t="s">
        <v>17</v>
      </c>
      <c r="C66" s="5">
        <f>SUBTOTAL(109,Výdaje7[Předpoklad])</f>
        <v>0</v>
      </c>
      <c r="D66" s="5">
        <f>SUBTOTAL(109,Výdaje7[Skutečnost])</f>
        <v>0</v>
      </c>
      <c r="E66" s="5">
        <f>SUBTOTAL(109,Výdaje7[Rozdíl])</f>
        <v>0</v>
      </c>
    </row>
  </sheetData>
  <sheetProtection algorithmName="SHA-512" hashValue="mokP3kN1xnR98L3k1Cd5rTWYLPMJK19ON8qTFf7hUFkn9NNj8VPWCp6TAusf9KSGdXGyxrAGw8aPrxZ1WpEWig==" saltValue="jF1m/5omD7gldKIqDmYc0g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64F86D0-DF7D-924C-9003-86235FF91BF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1E974336-09A3-9F47-B14C-2D6D142C18B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8811E83B-580B-104E-90FD-337B3F49200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82E52-47B4-FE43-982D-C3D817919579}">
  <sheetPr>
    <tabColor theme="4"/>
    <pageSetUpPr autoPageBreaks="0" fitToPage="1"/>
  </sheetPr>
  <dimension ref="B1:E66"/>
  <sheetViews>
    <sheetView showGridLines="0" zoomScale="125" zoomScaleNormal="125" workbookViewId="0">
      <selection activeCell="B13" sqref="B13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64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Příjmy69[[#Totals],[Předpoklad]]</f>
        <v>53000</v>
      </c>
      <c r="D16" s="15">
        <f>Příjmy69[[#Totals],[Skutečnost]]</f>
        <v>17633.333333333332</v>
      </c>
      <c r="E16" s="15">
        <f>Příjmy69[[#Totals],[Rozdíl]]</f>
        <v>-100</v>
      </c>
    </row>
    <row r="17" spans="2:5" x14ac:dyDescent="0.2">
      <c r="B17" s="6" t="s">
        <v>5</v>
      </c>
      <c r="C17" s="15">
        <f>Výdaje710[[#Totals],[Předpoklad]]</f>
        <v>0</v>
      </c>
      <c r="D17" s="15">
        <f>Výdaje710[[#Totals],[Skutečnost]]</f>
        <v>0</v>
      </c>
      <c r="E17" s="15">
        <f>Výdaje710[[#Totals],[Rozdíl]]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SUBTOTAL(109,HotovostníTok58[Rozdíl])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Příjmy69[[#This Row],[Skutečnost]]-Příjmy69[[#This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Příjmy69[[#This Row],[Skutečnost]]-Příjmy69[[#This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Příjmy69[[#This Row],[Skutečnost]]-Příjmy69[[#This Row],[Předpoklad]]</f>
        <v>0</v>
      </c>
    </row>
    <row r="24" spans="2:5" x14ac:dyDescent="0.2">
      <c r="B24" s="6" t="s">
        <v>4</v>
      </c>
      <c r="C24" s="5">
        <f>SUBTOTAL(109,Příjmy69[Předpoklad])</f>
        <v>53000</v>
      </c>
      <c r="D24" s="5">
        <f>SUBTOTAL(101,Příjmy69[Skutečnost])</f>
        <v>17633.333333333332</v>
      </c>
      <c r="E24" s="5">
        <f>SUBTOTAL(109,Příjmy69[Rozdíl])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Výdaje710[[#This Row],[Předpoklad]]-Výdaje710[[#This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Výdaje710[[#This Row],[Předpoklad]]-Výdaje710[[#This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Výdaje710[[#This Row],[Předpoklad]]-Výdaje710[[#This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Výdaje710[[#This Row],[Předpoklad]]-Výdaje710[[#This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Výdaje710[[#This Row],[Předpoklad]]-Výdaje710[[#This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Výdaje710[[#This Row],[Předpoklad]]-Výdaje710[[#This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Výdaje710[[#This Row],[Předpoklad]]-Výdaje710[[#This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Výdaje710[[#This Row],[Předpoklad]]-Výdaje710[[#This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Výdaje710[[#This Row],[Předpoklad]]-Výdaje710[[#This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Výdaje710[[#This Row],[Předpoklad]]-Výdaje710[[#This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Výdaje710[[#This Row],[Předpoklad]]-Výdaje710[[#This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Výdaje710[[#This Row],[Předpoklad]]-Výdaje710[[#This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Výdaje710[[#This Row],[Předpoklad]]-Výdaje710[[#This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Výdaje710[[#This Row],[Předpoklad]]-Výdaje710[[#This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Výdaje710[[#This Row],[Předpoklad]]-Výdaje710[[#This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Výdaje710[[#This Row],[Předpoklad]]-Výdaje710[[#This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Výdaje710[[#This Row],[Předpoklad]]-Výdaje710[[#This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Výdaje710[[#This Row],[Předpoklad]]-Výdaje710[[#This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Výdaje710[[#This Row],[Předpoklad]]-Výdaje710[[#This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Výdaje710[[#This Row],[Předpoklad]]-Výdaje710[[#This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Výdaje710[[#This Row],[Předpoklad]]-Výdaje710[[#This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Výdaje710[[#This Row],[Předpoklad]]-Výdaje710[[#This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Výdaje710[[#This Row],[Předpoklad]]-Výdaje710[[#This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Výdaje710[[#This Row],[Předpoklad]]-Výdaje710[[#This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Výdaje710[[#This Row],[Předpoklad]]-Výdaje710[[#This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Výdaje710[[#This Row],[Předpoklad]]-Výdaje710[[#This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Výdaje710[[#This Row],[Předpoklad]]-Výdaje710[[#This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Výdaje710[[#This Row],[Předpoklad]]-Výdaje710[[#This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Výdaje710[[#This Row],[Předpoklad]]-Výdaje710[[#This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Výdaje710[[#This Row],[Předpoklad]]-Výdaje710[[#This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Výdaje710[[#This Row],[Předpoklad]]-Výdaje710[[#This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Výdaje710[[#This Row],[Předpoklad]]-Výdaje710[[#This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Výdaje710[[#This Row],[Předpoklad]]-Výdaje710[[#This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Výdaje710[[#This Row],[Předpoklad]]-Výdaje710[[#This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Výdaje710[[#This Row],[Předpoklad]]-Výdaje710[[#This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Výdaje710[[#This Row],[Předpoklad]]-Výdaje710[[#This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Výdaje710[[#This Row],[Předpoklad]]-Výdaje710[[#This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Výdaje710[[#This Row],[Předpoklad]]-Výdaje710[[#This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Výdaje710[[#This Row],[Předpoklad]]-Výdaje710[[#This Row],[Skutečnost]]</f>
        <v>0</v>
      </c>
    </row>
    <row r="66" spans="2:5" x14ac:dyDescent="0.2">
      <c r="B66" s="6" t="s">
        <v>17</v>
      </c>
      <c r="C66" s="5">
        <f>SUBTOTAL(109,Výdaje710[Předpoklad])</f>
        <v>0</v>
      </c>
      <c r="D66" s="5">
        <f>SUBTOTAL(109,Výdaje710[Skutečnost])</f>
        <v>0</v>
      </c>
      <c r="E66" s="5">
        <f>SUBTOTAL(109,Výdaje710[Rozdíl])</f>
        <v>0</v>
      </c>
    </row>
  </sheetData>
  <sheetProtection algorithmName="SHA-512" hashValue="FbuPoXMaFSeaG/NwtGmDb0qH394UvQIMVSvVqntfuaonCFfI/zO1ZG+bmEDWaOlzLMFY4xzZIP1H/cD9JYlt5g==" saltValue="ldYTyiYGoB8oL+mUJ4IbLw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CF96F71-B445-7F4A-9EA8-249F58601BA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B8FC235F-BEC2-3B43-8F05-6368083A019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21B5332E-CE92-FD44-923C-5DA2DD63DD0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417E4-648E-2342-8EA5-F2666422301B}">
  <sheetPr>
    <tabColor theme="4"/>
    <pageSetUpPr autoPageBreaks="0" fitToPage="1"/>
  </sheetPr>
  <dimension ref="B1:E66"/>
  <sheetViews>
    <sheetView showGridLines="0" zoomScale="125" zoomScaleNormal="125" workbookViewId="0">
      <selection activeCell="B13" sqref="B13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63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Příjmy6912[[#Totals],[Předpoklad]]</f>
        <v>53000</v>
      </c>
      <c r="D16" s="15">
        <f>Příjmy6912[[#Totals],[Skutečnost]]</f>
        <v>17633.333333333332</v>
      </c>
      <c r="E16" s="15">
        <f>Příjmy6912[[#Totals],[Rozdíl]]</f>
        <v>-100</v>
      </c>
    </row>
    <row r="17" spans="2:5" x14ac:dyDescent="0.2">
      <c r="B17" s="6" t="s">
        <v>5</v>
      </c>
      <c r="C17" s="15">
        <f>Výdaje71013[[#Totals],[Předpoklad]]</f>
        <v>0</v>
      </c>
      <c r="D17" s="15">
        <f>Výdaje71013[[#Totals],[Skutečnost]]</f>
        <v>0</v>
      </c>
      <c r="E17" s="15">
        <f>Výdaje71013[[#Totals],[Rozdíl]]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SUBTOTAL(109,HotovostníTok5811[Rozdíl])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Příjmy6912[[#This Row],[Skutečnost]]-Příjmy6912[[#This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Příjmy6912[[#This Row],[Skutečnost]]-Příjmy6912[[#This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Příjmy6912[[#This Row],[Skutečnost]]-Příjmy6912[[#This Row],[Předpoklad]]</f>
        <v>0</v>
      </c>
    </row>
    <row r="24" spans="2:5" x14ac:dyDescent="0.2">
      <c r="B24" s="6" t="s">
        <v>4</v>
      </c>
      <c r="C24" s="5">
        <f>SUBTOTAL(109,Příjmy6912[Předpoklad])</f>
        <v>53000</v>
      </c>
      <c r="D24" s="5">
        <f>SUBTOTAL(101,Příjmy6912[Skutečnost])</f>
        <v>17633.333333333332</v>
      </c>
      <c r="E24" s="5">
        <f>SUBTOTAL(109,Příjmy6912[Rozdíl])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Výdaje71013[[#This Row],[Předpoklad]]-Výdaje71013[[#This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Výdaje71013[[#This Row],[Předpoklad]]-Výdaje71013[[#This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Výdaje71013[[#This Row],[Předpoklad]]-Výdaje71013[[#This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Výdaje71013[[#This Row],[Předpoklad]]-Výdaje71013[[#This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Výdaje71013[[#This Row],[Předpoklad]]-Výdaje71013[[#This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Výdaje71013[[#This Row],[Předpoklad]]-Výdaje71013[[#This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Výdaje71013[[#This Row],[Předpoklad]]-Výdaje71013[[#This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Výdaje71013[[#This Row],[Předpoklad]]-Výdaje71013[[#This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Výdaje71013[[#This Row],[Předpoklad]]-Výdaje71013[[#This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Výdaje71013[[#This Row],[Předpoklad]]-Výdaje71013[[#This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Výdaje71013[[#This Row],[Předpoklad]]-Výdaje71013[[#This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Výdaje71013[[#This Row],[Předpoklad]]-Výdaje71013[[#This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Výdaje71013[[#This Row],[Předpoklad]]-Výdaje71013[[#This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Výdaje71013[[#This Row],[Předpoklad]]-Výdaje71013[[#This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Výdaje71013[[#This Row],[Předpoklad]]-Výdaje71013[[#This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Výdaje71013[[#This Row],[Předpoklad]]-Výdaje71013[[#This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Výdaje71013[[#This Row],[Předpoklad]]-Výdaje71013[[#This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Výdaje71013[[#This Row],[Předpoklad]]-Výdaje71013[[#This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Výdaje71013[[#This Row],[Předpoklad]]-Výdaje71013[[#This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Výdaje71013[[#This Row],[Předpoklad]]-Výdaje71013[[#This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Výdaje71013[[#This Row],[Předpoklad]]-Výdaje71013[[#This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Výdaje71013[[#This Row],[Předpoklad]]-Výdaje71013[[#This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Výdaje71013[[#This Row],[Předpoklad]]-Výdaje71013[[#This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Výdaje71013[[#This Row],[Předpoklad]]-Výdaje71013[[#This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Výdaje71013[[#This Row],[Předpoklad]]-Výdaje71013[[#This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Výdaje71013[[#This Row],[Předpoklad]]-Výdaje71013[[#This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Výdaje71013[[#This Row],[Předpoklad]]-Výdaje71013[[#This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Výdaje71013[[#This Row],[Předpoklad]]-Výdaje71013[[#This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Výdaje71013[[#This Row],[Předpoklad]]-Výdaje71013[[#This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Výdaje71013[[#This Row],[Předpoklad]]-Výdaje71013[[#This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Výdaje71013[[#This Row],[Předpoklad]]-Výdaje71013[[#This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Výdaje71013[[#This Row],[Předpoklad]]-Výdaje71013[[#This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Výdaje71013[[#This Row],[Předpoklad]]-Výdaje71013[[#This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Výdaje71013[[#This Row],[Předpoklad]]-Výdaje71013[[#This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Výdaje71013[[#This Row],[Předpoklad]]-Výdaje71013[[#This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Výdaje71013[[#This Row],[Předpoklad]]-Výdaje71013[[#This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Výdaje71013[[#This Row],[Předpoklad]]-Výdaje71013[[#This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Výdaje71013[[#This Row],[Předpoklad]]-Výdaje71013[[#This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Výdaje71013[[#This Row],[Předpoklad]]-Výdaje71013[[#This Row],[Skutečnost]]</f>
        <v>0</v>
      </c>
    </row>
    <row r="66" spans="2:5" x14ac:dyDescent="0.2">
      <c r="B66" s="6" t="s">
        <v>17</v>
      </c>
      <c r="C66" s="5">
        <f>SUBTOTAL(109,Výdaje71013[Předpoklad])</f>
        <v>0</v>
      </c>
      <c r="D66" s="5">
        <f>SUBTOTAL(109,Výdaje71013[Skutečnost])</f>
        <v>0</v>
      </c>
      <c r="E66" s="5">
        <f>SUBTOTAL(109,Výdaje71013[Rozdíl])</f>
        <v>0</v>
      </c>
    </row>
  </sheetData>
  <sheetProtection algorithmName="SHA-512" hashValue="nDUDfJn3TftTzElfzd3s8klV2AOVff7KhfOvwf4CMWuc/enk7r65jnMol0W/u4qI4LRmolTaOYHfgtiq24mo4w==" saltValue="s/3wYbVUPPNriUahIMVqCA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668C1F77-88A5-FD45-9DC1-1302C18B0904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368A6147-EB56-7542-A351-F55E0F0F66C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276DAB5B-F8EC-994D-A364-AC03B6067385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6650-1BAA-C148-9493-573430CC69E7}">
  <sheetPr>
    <tabColor theme="4"/>
    <pageSetUpPr autoPageBreaks="0" fitToPage="1"/>
  </sheetPr>
  <dimension ref="B1:E66"/>
  <sheetViews>
    <sheetView showGridLines="0" zoomScale="125" zoomScaleNormal="125" workbookViewId="0">
      <selection activeCell="B8" sqref="B8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62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Příjmy691215[[#Totals],[Předpoklad]]</f>
        <v>53000</v>
      </c>
      <c r="D16" s="15">
        <f>Příjmy691215[[#Totals],[Skutečnost]]</f>
        <v>17633.333333333332</v>
      </c>
      <c r="E16" s="15">
        <f>Příjmy691215[[#Totals],[Rozdíl]]</f>
        <v>-100</v>
      </c>
    </row>
    <row r="17" spans="2:5" x14ac:dyDescent="0.2">
      <c r="B17" s="6" t="s">
        <v>5</v>
      </c>
      <c r="C17" s="15">
        <f>Výdaje7101316[[#Totals],[Předpoklad]]</f>
        <v>0</v>
      </c>
      <c r="D17" s="15">
        <f>Výdaje7101316[[#Totals],[Skutečnost]]</f>
        <v>0</v>
      </c>
      <c r="E17" s="15">
        <f>Výdaje7101316[[#Totals],[Rozdíl]]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SUBTOTAL(109,HotovostníTok581114[Rozdíl])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Příjmy691215[[#This Row],[Skutečnost]]-Příjmy691215[[#This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Příjmy691215[[#This Row],[Skutečnost]]-Příjmy691215[[#This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Příjmy691215[[#This Row],[Skutečnost]]-Příjmy691215[[#This Row],[Předpoklad]]</f>
        <v>0</v>
      </c>
    </row>
    <row r="24" spans="2:5" x14ac:dyDescent="0.2">
      <c r="B24" s="6" t="s">
        <v>4</v>
      </c>
      <c r="C24" s="5">
        <f>SUBTOTAL(109,Příjmy691215[Předpoklad])</f>
        <v>53000</v>
      </c>
      <c r="D24" s="5">
        <f>SUBTOTAL(101,Příjmy691215[Skutečnost])</f>
        <v>17633.333333333332</v>
      </c>
      <c r="E24" s="5">
        <f>SUBTOTAL(109,Příjmy691215[Rozdíl])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Výdaje7101316[[#This Row],[Předpoklad]]-Výdaje7101316[[#This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Výdaje7101316[[#This Row],[Předpoklad]]-Výdaje7101316[[#This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Výdaje7101316[[#This Row],[Předpoklad]]-Výdaje7101316[[#This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Výdaje7101316[[#This Row],[Předpoklad]]-Výdaje7101316[[#This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Výdaje7101316[[#This Row],[Předpoklad]]-Výdaje7101316[[#This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Výdaje7101316[[#This Row],[Předpoklad]]-Výdaje7101316[[#This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Výdaje7101316[[#This Row],[Předpoklad]]-Výdaje7101316[[#This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Výdaje7101316[[#This Row],[Předpoklad]]-Výdaje7101316[[#This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Výdaje7101316[[#This Row],[Předpoklad]]-Výdaje7101316[[#This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Výdaje7101316[[#This Row],[Předpoklad]]-Výdaje7101316[[#This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Výdaje7101316[[#This Row],[Předpoklad]]-Výdaje7101316[[#This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Výdaje7101316[[#This Row],[Předpoklad]]-Výdaje7101316[[#This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Výdaje7101316[[#This Row],[Předpoklad]]-Výdaje7101316[[#This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Výdaje7101316[[#This Row],[Předpoklad]]-Výdaje7101316[[#This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Výdaje7101316[[#This Row],[Předpoklad]]-Výdaje7101316[[#This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Výdaje7101316[[#This Row],[Předpoklad]]-Výdaje7101316[[#This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Výdaje7101316[[#This Row],[Předpoklad]]-Výdaje7101316[[#This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Výdaje7101316[[#This Row],[Předpoklad]]-Výdaje7101316[[#This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Výdaje7101316[[#This Row],[Předpoklad]]-Výdaje7101316[[#This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Výdaje7101316[[#This Row],[Předpoklad]]-Výdaje7101316[[#This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Výdaje7101316[[#This Row],[Předpoklad]]-Výdaje7101316[[#This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Výdaje7101316[[#This Row],[Předpoklad]]-Výdaje7101316[[#This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Výdaje7101316[[#This Row],[Předpoklad]]-Výdaje7101316[[#This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Výdaje7101316[[#This Row],[Předpoklad]]-Výdaje7101316[[#This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Výdaje7101316[[#This Row],[Předpoklad]]-Výdaje7101316[[#This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Výdaje7101316[[#This Row],[Předpoklad]]-Výdaje7101316[[#This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Výdaje7101316[[#This Row],[Předpoklad]]-Výdaje7101316[[#This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Výdaje7101316[[#This Row],[Předpoklad]]-Výdaje7101316[[#This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Výdaje7101316[[#This Row],[Předpoklad]]-Výdaje7101316[[#This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Výdaje7101316[[#This Row],[Předpoklad]]-Výdaje7101316[[#This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Výdaje7101316[[#This Row],[Předpoklad]]-Výdaje7101316[[#This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Výdaje7101316[[#This Row],[Předpoklad]]-Výdaje7101316[[#This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Výdaje7101316[[#This Row],[Předpoklad]]-Výdaje7101316[[#This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Výdaje7101316[[#This Row],[Předpoklad]]-Výdaje7101316[[#This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Výdaje7101316[[#This Row],[Předpoklad]]-Výdaje7101316[[#This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Výdaje7101316[[#This Row],[Předpoklad]]-Výdaje7101316[[#This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Výdaje7101316[[#This Row],[Předpoklad]]-Výdaje7101316[[#This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Výdaje7101316[[#This Row],[Předpoklad]]-Výdaje7101316[[#This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Výdaje7101316[[#This Row],[Předpoklad]]-Výdaje7101316[[#This Row],[Skutečnost]]</f>
        <v>0</v>
      </c>
    </row>
    <row r="66" spans="2:5" x14ac:dyDescent="0.2">
      <c r="B66" s="6" t="s">
        <v>17</v>
      </c>
      <c r="C66" s="5">
        <f>SUBTOTAL(109,Výdaje7101316[Předpoklad])</f>
        <v>0</v>
      </c>
      <c r="D66" s="5">
        <f>SUBTOTAL(109,Výdaje7101316[Skutečnost])</f>
        <v>0</v>
      </c>
      <c r="E66" s="5">
        <f>SUBTOTAL(109,Výdaje7101316[Rozdíl])</f>
        <v>0</v>
      </c>
    </row>
  </sheetData>
  <sheetProtection algorithmName="SHA-512" hashValue="+LOQkeMnK+QjKFXUwLA144RhxqJG48lMmkrnKeJuMskZ2d2SBu6bCrz8dpzKydMgn1p31oiHVPKBHg1SdsKRrA==" saltValue="ZJ1h8oLOYVgHee78e+Kibg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7A46B52-7765-9343-9BB5-F498D55893F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973D308A-6127-E247-B123-0B1D0671CFB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95A1FA2B-58C6-C847-8C07-6868E3CAA546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7C5C-B062-6247-B92F-A9CE20ADBB02}">
  <sheetPr>
    <tabColor theme="4"/>
    <pageSetUpPr autoPageBreaks="0" fitToPage="1"/>
  </sheetPr>
  <dimension ref="B1:E66"/>
  <sheetViews>
    <sheetView showGridLines="0" zoomScale="125" zoomScaleNormal="125" workbookViewId="0">
      <selection activeCell="B13" sqref="B13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61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Příjmy69121518[[#Totals],[Předpoklad]]</f>
        <v>53000</v>
      </c>
      <c r="D16" s="15">
        <f>Příjmy69121518[[#Totals],[Skutečnost]]</f>
        <v>17633.333333333332</v>
      </c>
      <c r="E16" s="15">
        <f>Příjmy69121518[[#Totals],[Rozdíl]]</f>
        <v>-100</v>
      </c>
    </row>
    <row r="17" spans="2:5" x14ac:dyDescent="0.2">
      <c r="B17" s="6" t="s">
        <v>5</v>
      </c>
      <c r="C17" s="15">
        <f>Výdaje710131619[[#Totals],[Předpoklad]]</f>
        <v>0</v>
      </c>
      <c r="D17" s="15">
        <f>Výdaje710131619[[#Totals],[Skutečnost]]</f>
        <v>0</v>
      </c>
      <c r="E17" s="15">
        <f>Výdaje710131619[[#Totals],[Rozdíl]]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SUBTOTAL(109,HotovostníTok58111417[Rozdíl])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Příjmy69121518[[#This Row],[Skutečnost]]-Příjmy69121518[[#This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Příjmy69121518[[#This Row],[Skutečnost]]-Příjmy69121518[[#This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Příjmy69121518[[#This Row],[Skutečnost]]-Příjmy69121518[[#This Row],[Předpoklad]]</f>
        <v>0</v>
      </c>
    </row>
    <row r="24" spans="2:5" x14ac:dyDescent="0.2">
      <c r="B24" s="6" t="s">
        <v>4</v>
      </c>
      <c r="C24" s="5">
        <f>SUBTOTAL(109,Příjmy69121518[Předpoklad])</f>
        <v>53000</v>
      </c>
      <c r="D24" s="5">
        <f>SUBTOTAL(101,Příjmy69121518[Skutečnost])</f>
        <v>17633.333333333332</v>
      </c>
      <c r="E24" s="5">
        <f>SUBTOTAL(109,Příjmy69121518[Rozdíl])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Výdaje710131619[[#This Row],[Předpoklad]]-Výdaje710131619[[#This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Výdaje710131619[[#This Row],[Předpoklad]]-Výdaje710131619[[#This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Výdaje710131619[[#This Row],[Předpoklad]]-Výdaje710131619[[#This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Výdaje710131619[[#This Row],[Předpoklad]]-Výdaje710131619[[#This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Výdaje710131619[[#This Row],[Předpoklad]]-Výdaje710131619[[#This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Výdaje710131619[[#This Row],[Předpoklad]]-Výdaje710131619[[#This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Výdaje710131619[[#This Row],[Předpoklad]]-Výdaje710131619[[#This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Výdaje710131619[[#This Row],[Předpoklad]]-Výdaje710131619[[#This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Výdaje710131619[[#This Row],[Předpoklad]]-Výdaje710131619[[#This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Výdaje710131619[[#This Row],[Předpoklad]]-Výdaje710131619[[#This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Výdaje710131619[[#This Row],[Předpoklad]]-Výdaje710131619[[#This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Výdaje710131619[[#This Row],[Předpoklad]]-Výdaje710131619[[#This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Výdaje710131619[[#This Row],[Předpoklad]]-Výdaje710131619[[#This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Výdaje710131619[[#This Row],[Předpoklad]]-Výdaje710131619[[#This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Výdaje710131619[[#This Row],[Předpoklad]]-Výdaje710131619[[#This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Výdaje710131619[[#This Row],[Předpoklad]]-Výdaje710131619[[#This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Výdaje710131619[[#This Row],[Předpoklad]]-Výdaje710131619[[#This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Výdaje710131619[[#This Row],[Předpoklad]]-Výdaje710131619[[#This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Výdaje710131619[[#This Row],[Předpoklad]]-Výdaje710131619[[#This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Výdaje710131619[[#This Row],[Předpoklad]]-Výdaje710131619[[#This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Výdaje710131619[[#This Row],[Předpoklad]]-Výdaje710131619[[#This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Výdaje710131619[[#This Row],[Předpoklad]]-Výdaje710131619[[#This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Výdaje710131619[[#This Row],[Předpoklad]]-Výdaje710131619[[#This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Výdaje710131619[[#This Row],[Předpoklad]]-Výdaje710131619[[#This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Výdaje710131619[[#This Row],[Předpoklad]]-Výdaje710131619[[#This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Výdaje710131619[[#This Row],[Předpoklad]]-Výdaje710131619[[#This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Výdaje710131619[[#This Row],[Předpoklad]]-Výdaje710131619[[#This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Výdaje710131619[[#This Row],[Předpoklad]]-Výdaje710131619[[#This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Výdaje710131619[[#This Row],[Předpoklad]]-Výdaje710131619[[#This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Výdaje710131619[[#This Row],[Předpoklad]]-Výdaje710131619[[#This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Výdaje710131619[[#This Row],[Předpoklad]]-Výdaje710131619[[#This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Výdaje710131619[[#This Row],[Předpoklad]]-Výdaje710131619[[#This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Výdaje710131619[[#This Row],[Předpoklad]]-Výdaje710131619[[#This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Výdaje710131619[[#This Row],[Předpoklad]]-Výdaje710131619[[#This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Výdaje710131619[[#This Row],[Předpoklad]]-Výdaje710131619[[#This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Výdaje710131619[[#This Row],[Předpoklad]]-Výdaje710131619[[#This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Výdaje710131619[[#This Row],[Předpoklad]]-Výdaje710131619[[#This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Výdaje710131619[[#This Row],[Předpoklad]]-Výdaje710131619[[#This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Výdaje710131619[[#This Row],[Předpoklad]]-Výdaje710131619[[#This Row],[Skutečnost]]</f>
        <v>0</v>
      </c>
    </row>
    <row r="66" spans="2:5" x14ac:dyDescent="0.2">
      <c r="B66" s="6" t="s">
        <v>17</v>
      </c>
      <c r="C66" s="5">
        <f>SUBTOTAL(109,Výdaje710131619[Předpoklad])</f>
        <v>0</v>
      </c>
      <c r="D66" s="5">
        <f>SUBTOTAL(109,Výdaje710131619[Skutečnost])</f>
        <v>0</v>
      </c>
      <c r="E66" s="5">
        <f>SUBTOTAL(109,Výdaje710131619[Rozdíl])</f>
        <v>0</v>
      </c>
    </row>
  </sheetData>
  <sheetProtection algorithmName="SHA-512" hashValue="Fnt5emXuUabRIWVhQ0iclh0dXTqupS77FeuJt4bjC4ssEggOKtOqGOrZc0Q4NwVB+v81QjH9J7hyXtyocuh5IQ==" saltValue="Tprt22NKjTCfjKHdh77PHQ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82ADF90-5F99-1D4A-AB87-7D26A068B78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D8A74923-0AAC-7343-BB65-DA1DC30872D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FA93E0F3-8314-304F-B3FE-6B0FBB33075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9242-CF00-924C-B045-C31AA0EED023}">
  <sheetPr>
    <tabColor theme="4"/>
    <pageSetUpPr autoPageBreaks="0" fitToPage="1"/>
  </sheetPr>
  <dimension ref="B1:E66"/>
  <sheetViews>
    <sheetView showGridLines="0" zoomScale="125" zoomScaleNormal="125" workbookViewId="0">
      <selection activeCell="B14" sqref="B14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60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Příjmy6912151821[[#Totals],[Předpoklad]]</f>
        <v>53000</v>
      </c>
      <c r="D16" s="15">
        <f>Příjmy6912151821[[#Totals],[Skutečnost]]</f>
        <v>17633.333333333332</v>
      </c>
      <c r="E16" s="15">
        <f>Příjmy6912151821[[#Totals],[Rozdíl]]</f>
        <v>-100</v>
      </c>
    </row>
    <row r="17" spans="2:5" x14ac:dyDescent="0.2">
      <c r="B17" s="6" t="s">
        <v>5</v>
      </c>
      <c r="C17" s="15">
        <f>Výdaje71013161922[[#Totals],[Předpoklad]]</f>
        <v>0</v>
      </c>
      <c r="D17" s="15">
        <f>Výdaje71013161922[[#Totals],[Skutečnost]]</f>
        <v>0</v>
      </c>
      <c r="E17" s="15">
        <f>Výdaje71013161922[[#Totals],[Rozdíl]]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SUBTOTAL(109,HotovostníTok5811141720[Rozdíl])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Příjmy6912151821[[#This Row],[Skutečnost]]-Příjmy6912151821[[#This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Příjmy6912151821[[#This Row],[Skutečnost]]-Příjmy6912151821[[#This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Příjmy6912151821[[#This Row],[Skutečnost]]-Příjmy6912151821[[#This Row],[Předpoklad]]</f>
        <v>0</v>
      </c>
    </row>
    <row r="24" spans="2:5" x14ac:dyDescent="0.2">
      <c r="B24" s="6" t="s">
        <v>4</v>
      </c>
      <c r="C24" s="5">
        <f>SUBTOTAL(109,Příjmy6912151821[Předpoklad])</f>
        <v>53000</v>
      </c>
      <c r="D24" s="5">
        <f>SUBTOTAL(101,Příjmy6912151821[Skutečnost])</f>
        <v>17633.333333333332</v>
      </c>
      <c r="E24" s="5">
        <f>SUBTOTAL(109,Příjmy6912151821[Rozdíl])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Výdaje71013161922[[#This Row],[Předpoklad]]-Výdaje71013161922[[#This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Výdaje71013161922[[#This Row],[Předpoklad]]-Výdaje71013161922[[#This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Výdaje71013161922[[#This Row],[Předpoklad]]-Výdaje71013161922[[#This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Výdaje71013161922[[#This Row],[Předpoklad]]-Výdaje71013161922[[#This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Výdaje71013161922[[#This Row],[Předpoklad]]-Výdaje71013161922[[#This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Výdaje71013161922[[#This Row],[Předpoklad]]-Výdaje71013161922[[#This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Výdaje71013161922[[#This Row],[Předpoklad]]-Výdaje71013161922[[#This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Výdaje71013161922[[#This Row],[Předpoklad]]-Výdaje71013161922[[#This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Výdaje71013161922[[#This Row],[Předpoklad]]-Výdaje71013161922[[#This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Výdaje71013161922[[#This Row],[Předpoklad]]-Výdaje71013161922[[#This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Výdaje71013161922[[#This Row],[Předpoklad]]-Výdaje71013161922[[#This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Výdaje71013161922[[#This Row],[Předpoklad]]-Výdaje71013161922[[#This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Výdaje71013161922[[#This Row],[Předpoklad]]-Výdaje71013161922[[#This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Výdaje71013161922[[#This Row],[Předpoklad]]-Výdaje71013161922[[#This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Výdaje71013161922[[#This Row],[Předpoklad]]-Výdaje71013161922[[#This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Výdaje71013161922[[#This Row],[Předpoklad]]-Výdaje71013161922[[#This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Výdaje71013161922[[#This Row],[Předpoklad]]-Výdaje71013161922[[#This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Výdaje71013161922[[#This Row],[Předpoklad]]-Výdaje71013161922[[#This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Výdaje71013161922[[#This Row],[Předpoklad]]-Výdaje71013161922[[#This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Výdaje71013161922[[#This Row],[Předpoklad]]-Výdaje71013161922[[#This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Výdaje71013161922[[#This Row],[Předpoklad]]-Výdaje71013161922[[#This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Výdaje71013161922[[#This Row],[Předpoklad]]-Výdaje71013161922[[#This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Výdaje71013161922[[#This Row],[Předpoklad]]-Výdaje71013161922[[#This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Výdaje71013161922[[#This Row],[Předpoklad]]-Výdaje71013161922[[#This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Výdaje71013161922[[#This Row],[Předpoklad]]-Výdaje71013161922[[#This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Výdaje71013161922[[#This Row],[Předpoklad]]-Výdaje71013161922[[#This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Výdaje71013161922[[#This Row],[Předpoklad]]-Výdaje71013161922[[#This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Výdaje71013161922[[#This Row],[Předpoklad]]-Výdaje71013161922[[#This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Výdaje71013161922[[#This Row],[Předpoklad]]-Výdaje71013161922[[#This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Výdaje71013161922[[#This Row],[Předpoklad]]-Výdaje71013161922[[#This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Výdaje71013161922[[#This Row],[Předpoklad]]-Výdaje71013161922[[#This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Výdaje71013161922[[#This Row],[Předpoklad]]-Výdaje71013161922[[#This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Výdaje71013161922[[#This Row],[Předpoklad]]-Výdaje71013161922[[#This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Výdaje71013161922[[#This Row],[Předpoklad]]-Výdaje71013161922[[#This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Výdaje71013161922[[#This Row],[Předpoklad]]-Výdaje71013161922[[#This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Výdaje71013161922[[#This Row],[Předpoklad]]-Výdaje71013161922[[#This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Výdaje71013161922[[#This Row],[Předpoklad]]-Výdaje71013161922[[#This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Výdaje71013161922[[#This Row],[Předpoklad]]-Výdaje71013161922[[#This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Výdaje71013161922[[#This Row],[Předpoklad]]-Výdaje71013161922[[#This Row],[Skutečnost]]</f>
        <v>0</v>
      </c>
    </row>
    <row r="66" spans="2:5" x14ac:dyDescent="0.2">
      <c r="B66" s="6" t="s">
        <v>17</v>
      </c>
      <c r="C66" s="5">
        <f>SUBTOTAL(109,Výdaje71013161922[Předpoklad])</f>
        <v>0</v>
      </c>
      <c r="D66" s="5">
        <f>SUBTOTAL(109,Výdaje71013161922[Skutečnost])</f>
        <v>0</v>
      </c>
      <c r="E66" s="5">
        <f>SUBTOTAL(109,Výdaje71013161922[Rozdíl])</f>
        <v>0</v>
      </c>
    </row>
  </sheetData>
  <sheetProtection algorithmName="SHA-512" hashValue="VZ4xUDpJ9GI6J3IG8wcBK5sYrO4cI9/h0QN+/PrtIDRu3tWykD0jeJeLsZcnOUyheyRRCBeNWHeP2tWDWlLXuQ==" saltValue="bf85vSSGlTrk+9TYrwCLog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legacyDrawing r:id="rId3"/>
  <tableParts count="3"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DD35DE3-81C0-2945-9D47-84216C79F50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AE8B5F5D-EE8E-4849-BA45-4144AD29313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103FD4CE-10DE-F047-92CE-1AF19D841154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69AD-2E45-3D40-A353-7630713B3DBE}">
  <sheetPr>
    <tabColor theme="4"/>
    <pageSetUpPr autoPageBreaks="0" fitToPage="1"/>
  </sheetPr>
  <dimension ref="B1:E66"/>
  <sheetViews>
    <sheetView showGridLines="0" zoomScale="125" zoomScaleNormal="125" workbookViewId="0">
      <selection activeCell="B12" sqref="B12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59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Příjmy24[[#Totals],[Předpoklad]]</f>
        <v>53000</v>
      </c>
      <c r="D16" s="15">
        <f>Příjmy24[[#Totals],[Skutečnost]]</f>
        <v>17633.333333333332</v>
      </c>
      <c r="E16" s="15">
        <f>Příjmy24[[#Totals],[Rozdíl]]</f>
        <v>-100</v>
      </c>
    </row>
    <row r="17" spans="2:5" x14ac:dyDescent="0.2">
      <c r="B17" s="6" t="s">
        <v>5</v>
      </c>
      <c r="C17" s="15">
        <f>Výdaje25[[#Totals],[Předpoklad]]</f>
        <v>0</v>
      </c>
      <c r="D17" s="15">
        <f>Výdaje25[[#Totals],[Skutečnost]]</f>
        <v>0</v>
      </c>
      <c r="E17" s="15">
        <f>Výdaje25[[#Totals],[Rozdíl]]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SUBTOTAL(109,HotovostníTok23[Rozdíl])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Příjmy24[[#This Row],[Skutečnost]]-Příjmy24[[#This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Příjmy24[[#This Row],[Skutečnost]]-Příjmy24[[#This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Příjmy24[[#This Row],[Skutečnost]]-Příjmy24[[#This Row],[Předpoklad]]</f>
        <v>0</v>
      </c>
    </row>
    <row r="24" spans="2:5" x14ac:dyDescent="0.2">
      <c r="B24" s="6" t="s">
        <v>4</v>
      </c>
      <c r="C24" s="5">
        <f>SUBTOTAL(109,Příjmy24[Předpoklad])</f>
        <v>53000</v>
      </c>
      <c r="D24" s="5">
        <f>SUBTOTAL(101,Příjmy24[Skutečnost])</f>
        <v>17633.333333333332</v>
      </c>
      <c r="E24" s="5">
        <f>SUBTOTAL(109,Příjmy24[Rozdíl])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Výdaje25[[#This Row],[Předpoklad]]-Výdaje25[[#This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Výdaje25[[#This Row],[Předpoklad]]-Výdaje25[[#This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Výdaje25[[#This Row],[Předpoklad]]-Výdaje25[[#This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Výdaje25[[#This Row],[Předpoklad]]-Výdaje25[[#This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Výdaje25[[#This Row],[Předpoklad]]-Výdaje25[[#This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Výdaje25[[#This Row],[Předpoklad]]-Výdaje25[[#This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Výdaje25[[#This Row],[Předpoklad]]-Výdaje25[[#This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Výdaje25[[#This Row],[Předpoklad]]-Výdaje25[[#This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Výdaje25[[#This Row],[Předpoklad]]-Výdaje25[[#This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Výdaje25[[#This Row],[Předpoklad]]-Výdaje25[[#This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Výdaje25[[#This Row],[Předpoklad]]-Výdaje25[[#This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Výdaje25[[#This Row],[Předpoklad]]-Výdaje25[[#This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Výdaje25[[#This Row],[Předpoklad]]-Výdaje25[[#This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Výdaje25[[#This Row],[Předpoklad]]-Výdaje25[[#This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Výdaje25[[#This Row],[Předpoklad]]-Výdaje25[[#This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Výdaje25[[#This Row],[Předpoklad]]-Výdaje25[[#This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Výdaje25[[#This Row],[Předpoklad]]-Výdaje25[[#This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Výdaje25[[#This Row],[Předpoklad]]-Výdaje25[[#This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Výdaje25[[#This Row],[Předpoklad]]-Výdaje25[[#This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Výdaje25[[#This Row],[Předpoklad]]-Výdaje25[[#This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Výdaje25[[#This Row],[Předpoklad]]-Výdaje25[[#This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Výdaje25[[#This Row],[Předpoklad]]-Výdaje25[[#This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Výdaje25[[#This Row],[Předpoklad]]-Výdaje25[[#This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Výdaje25[[#This Row],[Předpoklad]]-Výdaje25[[#This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Výdaje25[[#This Row],[Předpoklad]]-Výdaje25[[#This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Výdaje25[[#This Row],[Předpoklad]]-Výdaje25[[#This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Výdaje25[[#This Row],[Předpoklad]]-Výdaje25[[#This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Výdaje25[[#This Row],[Předpoklad]]-Výdaje25[[#This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Výdaje25[[#This Row],[Předpoklad]]-Výdaje25[[#This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Výdaje25[[#This Row],[Předpoklad]]-Výdaje25[[#This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Výdaje25[[#This Row],[Předpoklad]]-Výdaje25[[#This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Výdaje25[[#This Row],[Předpoklad]]-Výdaje25[[#This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Výdaje25[[#This Row],[Předpoklad]]-Výdaje25[[#This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Výdaje25[[#This Row],[Předpoklad]]-Výdaje25[[#This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Výdaje25[[#This Row],[Předpoklad]]-Výdaje25[[#This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Výdaje25[[#This Row],[Předpoklad]]-Výdaje25[[#This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Výdaje25[[#This Row],[Předpoklad]]-Výdaje25[[#This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Výdaje25[[#This Row],[Předpoklad]]-Výdaje25[[#This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Výdaje25[[#This Row],[Předpoklad]]-Výdaje25[[#This Row],[Skutečnost]]</f>
        <v>0</v>
      </c>
    </row>
    <row r="66" spans="2:5" x14ac:dyDescent="0.2">
      <c r="B66" s="6" t="s">
        <v>17</v>
      </c>
      <c r="C66" s="5">
        <f>SUBTOTAL(109,Výdaje25[Předpoklad])</f>
        <v>0</v>
      </c>
      <c r="D66" s="5">
        <f>SUBTOTAL(109,Výdaje25[Skutečnost])</f>
        <v>0</v>
      </c>
      <c r="E66" s="5">
        <f>SUBTOTAL(109,Výdaje25[Rozdíl])</f>
        <v>0</v>
      </c>
    </row>
  </sheetData>
  <sheetProtection algorithmName="SHA-512" hashValue="fW7qt9emtMlOktKzeobglVI4PYujsVyS+8Xk9GUxLEqzAVoAwF0nfXyJVexLeHDRA7QFlBTyv2vCqq+4la0J5g==" saltValue="kHSCPaolU8ZNKc2CIP4Q8A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ED2149E1-CCE8-154E-8E6A-D84B6C85D6D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C19192B2-DBDA-3249-B888-33D6623F358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D06E3BB6-EBA6-1449-B3A6-1CE7794CA74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44B9-A7EA-8648-ADD4-DE8170CFC9D3}">
  <sheetPr>
    <tabColor theme="4"/>
    <pageSetUpPr autoPageBreaks="0" fitToPage="1"/>
  </sheetPr>
  <dimension ref="B1:E66"/>
  <sheetViews>
    <sheetView showGridLines="0" zoomScale="125" zoomScaleNormal="125" workbookViewId="0">
      <selection activeCell="B12" sqref="B12"/>
    </sheetView>
  </sheetViews>
  <sheetFormatPr baseColWidth="10" defaultColWidth="8.7109375" defaultRowHeight="17" x14ac:dyDescent="0.2"/>
  <cols>
    <col min="1" max="1" width="2.28515625" style="6" customWidth="1"/>
    <col min="2" max="2" width="44.42578125" style="6" customWidth="1"/>
    <col min="3" max="3" width="18" style="6" customWidth="1"/>
    <col min="4" max="5" width="14.28515625" style="5" customWidth="1"/>
    <col min="6" max="6" width="3.7109375" style="6" customWidth="1"/>
    <col min="7" max="16384" width="8.7109375" style="6"/>
  </cols>
  <sheetData>
    <row r="1" spans="2:5" ht="23.25" customHeight="1" x14ac:dyDescent="0.2">
      <c r="B1" s="4" t="s">
        <v>0</v>
      </c>
      <c r="C1" s="5"/>
    </row>
    <row r="2" spans="2:5" ht="46.5" customHeight="1" x14ac:dyDescent="0.2">
      <c r="B2" s="7" t="s">
        <v>1</v>
      </c>
      <c r="C2" s="5"/>
    </row>
    <row r="3" spans="2:5" ht="27" thickBot="1" x14ac:dyDescent="0.25">
      <c r="B3" s="8" t="s">
        <v>58</v>
      </c>
      <c r="C3" s="5"/>
    </row>
    <row r="4" spans="2:5" ht="26" x14ac:dyDescent="0.2">
      <c r="B4" s="9">
        <v>2022</v>
      </c>
      <c r="C4" s="5"/>
    </row>
    <row r="5" spans="2:5" x14ac:dyDescent="0.2">
      <c r="C5" s="5"/>
    </row>
    <row r="10" spans="2:5" x14ac:dyDescent="0.2">
      <c r="C10" s="5"/>
    </row>
    <row r="11" spans="2:5" x14ac:dyDescent="0.2">
      <c r="C11" s="5"/>
    </row>
    <row r="12" spans="2:5" x14ac:dyDescent="0.2">
      <c r="C12" s="5"/>
    </row>
    <row r="13" spans="2:5" x14ac:dyDescent="0.2">
      <c r="C13" s="5"/>
    </row>
    <row r="14" spans="2:5" ht="46.5" customHeight="1" x14ac:dyDescent="0.15">
      <c r="B14" s="10" t="s">
        <v>2</v>
      </c>
      <c r="C14" s="5"/>
    </row>
    <row r="15" spans="2:5" ht="33" customHeight="1" thickBot="1" x14ac:dyDescent="0.25">
      <c r="B15" s="11" t="s">
        <v>3</v>
      </c>
      <c r="C15" s="12" t="s">
        <v>18</v>
      </c>
      <c r="D15" s="12" t="s">
        <v>19</v>
      </c>
      <c r="E15" s="12" t="s">
        <v>20</v>
      </c>
    </row>
    <row r="16" spans="2:5" x14ac:dyDescent="0.2">
      <c r="B16" s="6" t="s">
        <v>4</v>
      </c>
      <c r="C16" s="15">
        <f>Příjmy2427[[#Totals],[Předpoklad]]</f>
        <v>53000</v>
      </c>
      <c r="D16" s="15">
        <f>Příjmy2427[[#Totals],[Skutečnost]]</f>
        <v>17633.333333333332</v>
      </c>
      <c r="E16" s="15">
        <f>Příjmy2427[[#Totals],[Rozdíl]]</f>
        <v>-100</v>
      </c>
    </row>
    <row r="17" spans="2:5" x14ac:dyDescent="0.2">
      <c r="B17" s="6" t="s">
        <v>5</v>
      </c>
      <c r="C17" s="15">
        <f>Výdaje2528[[#Totals],[Předpoklad]]</f>
        <v>0</v>
      </c>
      <c r="D17" s="15">
        <f>Výdaje2528[[#Totals],[Skutečnost]]</f>
        <v>0</v>
      </c>
      <c r="E17" s="15">
        <f>Výdaje2528[[#Totals],[Rozdíl]]</f>
        <v>0</v>
      </c>
    </row>
    <row r="18" spans="2:5" x14ac:dyDescent="0.2">
      <c r="B18" s="6" t="s">
        <v>6</v>
      </c>
      <c r="C18" s="5">
        <f>C16-C17</f>
        <v>53000</v>
      </c>
      <c r="D18" s="5">
        <f>D16-D17</f>
        <v>17633.333333333332</v>
      </c>
      <c r="E18" s="5">
        <f>SUBTOTAL(109,HotovostníTok2326[Rozdíl])</f>
        <v>-100</v>
      </c>
    </row>
    <row r="19" spans="2:5" ht="30.75" customHeight="1" x14ac:dyDescent="0.2"/>
    <row r="20" spans="2:5" ht="34" thickBot="1" x14ac:dyDescent="0.25">
      <c r="B20" s="13" t="s">
        <v>7</v>
      </c>
      <c r="C20" s="14" t="s">
        <v>18</v>
      </c>
      <c r="D20" s="14" t="s">
        <v>19</v>
      </c>
      <c r="E20" s="14" t="s">
        <v>20</v>
      </c>
    </row>
    <row r="21" spans="2:5" x14ac:dyDescent="0.2">
      <c r="B21" s="6" t="s">
        <v>8</v>
      </c>
      <c r="C21" s="5">
        <v>25000</v>
      </c>
      <c r="D21" s="5">
        <v>24600</v>
      </c>
      <c r="E21" s="15">
        <f>Příjmy2427[[#This Row],[Skutečnost]]-Příjmy2427[[#This Row],[Předpoklad]]</f>
        <v>-400</v>
      </c>
    </row>
    <row r="22" spans="2:5" x14ac:dyDescent="0.2">
      <c r="B22" s="6" t="s">
        <v>9</v>
      </c>
      <c r="C22" s="5">
        <v>28000</v>
      </c>
      <c r="D22" s="5">
        <v>28300</v>
      </c>
      <c r="E22" s="15">
        <f>Příjmy2427[[#This Row],[Skutečnost]]-Příjmy2427[[#This Row],[Předpoklad]]</f>
        <v>300</v>
      </c>
    </row>
    <row r="23" spans="2:5" ht="22.5" customHeight="1" x14ac:dyDescent="0.2">
      <c r="B23" s="6" t="s">
        <v>10</v>
      </c>
      <c r="C23" s="5">
        <v>0</v>
      </c>
      <c r="D23" s="5">
        <v>0</v>
      </c>
      <c r="E23" s="15">
        <f>Příjmy2427[[#This Row],[Skutečnost]]-Příjmy2427[[#This Row],[Předpoklad]]</f>
        <v>0</v>
      </c>
    </row>
    <row r="24" spans="2:5" x14ac:dyDescent="0.2">
      <c r="B24" s="6" t="s">
        <v>4</v>
      </c>
      <c r="C24" s="5">
        <f>SUBTOTAL(109,Příjmy2427[Předpoklad])</f>
        <v>53000</v>
      </c>
      <c r="D24" s="5">
        <f>SUBTOTAL(101,Příjmy2427[Skutečnost])</f>
        <v>17633.333333333332</v>
      </c>
      <c r="E24" s="5">
        <f>SUBTOTAL(109,Příjmy2427[Rozdíl])</f>
        <v>-100</v>
      </c>
    </row>
    <row r="26" spans="2:5" ht="33" x14ac:dyDescent="0.2">
      <c r="B26" s="20" t="s">
        <v>11</v>
      </c>
      <c r="C26" s="21" t="s">
        <v>18</v>
      </c>
      <c r="D26" s="21" t="s">
        <v>19</v>
      </c>
      <c r="E26" s="21" t="s">
        <v>20</v>
      </c>
    </row>
    <row r="27" spans="2:5" x14ac:dyDescent="0.2">
      <c r="B27" s="22" t="s">
        <v>24</v>
      </c>
      <c r="C27" s="25">
        <v>0</v>
      </c>
      <c r="D27" s="23">
        <v>0</v>
      </c>
      <c r="E27" s="26">
        <f>Výdaje2528[[#This Row],[Předpoklad]]-Výdaje2528[[#This Row],[Skutečnost]]</f>
        <v>0</v>
      </c>
    </row>
    <row r="28" spans="2:5" x14ac:dyDescent="0.2">
      <c r="B28" s="24" t="s">
        <v>25</v>
      </c>
      <c r="C28" s="25">
        <v>0</v>
      </c>
      <c r="D28" s="23">
        <v>0</v>
      </c>
      <c r="E28" s="27">
        <f>Výdaje2528[[#This Row],[Předpoklad]]-Výdaje2528[[#This Row],[Skutečnost]]</f>
        <v>0</v>
      </c>
    </row>
    <row r="29" spans="2:5" x14ac:dyDescent="0.2">
      <c r="B29" s="16" t="s">
        <v>26</v>
      </c>
      <c r="C29" s="25">
        <v>0</v>
      </c>
      <c r="D29" s="23">
        <v>0</v>
      </c>
      <c r="E29" s="28">
        <f>Výdaje2528[[#This Row],[Předpoklad]]-Výdaje2528[[#This Row],[Skutečnost]]</f>
        <v>0</v>
      </c>
    </row>
    <row r="30" spans="2:5" x14ac:dyDescent="0.2">
      <c r="B30" s="24" t="s">
        <v>27</v>
      </c>
      <c r="C30" s="25">
        <v>0</v>
      </c>
      <c r="D30" s="23">
        <v>0</v>
      </c>
      <c r="E30" s="27">
        <f>Výdaje2528[[#This Row],[Předpoklad]]-Výdaje2528[[#This Row],[Skutečnost]]</f>
        <v>0</v>
      </c>
    </row>
    <row r="31" spans="2:5" x14ac:dyDescent="0.2">
      <c r="B31" s="16" t="s">
        <v>28</v>
      </c>
      <c r="C31" s="25">
        <v>0</v>
      </c>
      <c r="D31" s="23">
        <v>0</v>
      </c>
      <c r="E31" s="28">
        <f>Výdaje2528[[#This Row],[Předpoklad]]-Výdaje2528[[#This Row],[Skutečnost]]</f>
        <v>0</v>
      </c>
    </row>
    <row r="32" spans="2:5" x14ac:dyDescent="0.2">
      <c r="B32" s="24" t="s">
        <v>29</v>
      </c>
      <c r="C32" s="25">
        <v>0</v>
      </c>
      <c r="D32" s="23">
        <v>0</v>
      </c>
      <c r="E32" s="27">
        <f>Výdaje2528[[#This Row],[Předpoklad]]-Výdaje2528[[#This Row],[Skutečnost]]</f>
        <v>0</v>
      </c>
    </row>
    <row r="33" spans="2:5" x14ac:dyDescent="0.2">
      <c r="B33" s="16" t="s">
        <v>30</v>
      </c>
      <c r="C33" s="17">
        <v>0</v>
      </c>
      <c r="D33" s="23">
        <v>0</v>
      </c>
      <c r="E33" s="28">
        <f>Výdaje2528[[#This Row],[Předpoklad]]-Výdaje2528[[#This Row],[Skutečnost]]</f>
        <v>0</v>
      </c>
    </row>
    <row r="34" spans="2:5" x14ac:dyDescent="0.2">
      <c r="B34" s="24" t="s">
        <v>31</v>
      </c>
      <c r="C34" s="25">
        <v>0</v>
      </c>
      <c r="D34" s="23">
        <v>0</v>
      </c>
      <c r="E34" s="27">
        <f>Výdaje2528[[#This Row],[Předpoklad]]-Výdaje2528[[#This Row],[Skutečnost]]</f>
        <v>0</v>
      </c>
    </row>
    <row r="35" spans="2:5" x14ac:dyDescent="0.2">
      <c r="B35" s="16" t="s">
        <v>14</v>
      </c>
      <c r="C35" s="17">
        <v>0</v>
      </c>
      <c r="D35" s="23">
        <v>0</v>
      </c>
      <c r="E35" s="28">
        <f>Výdaje2528[[#This Row],[Předpoklad]]-Výdaje2528[[#This Row],[Skutečnost]]</f>
        <v>0</v>
      </c>
    </row>
    <row r="36" spans="2:5" x14ac:dyDescent="0.2">
      <c r="B36" s="24" t="s">
        <v>32</v>
      </c>
      <c r="C36" s="25">
        <v>0</v>
      </c>
      <c r="D36" s="23">
        <v>0</v>
      </c>
      <c r="E36" s="27">
        <f>Výdaje2528[[#This Row],[Předpoklad]]-Výdaje2528[[#This Row],[Skutečnost]]</f>
        <v>0</v>
      </c>
    </row>
    <row r="37" spans="2:5" x14ac:dyDescent="0.2">
      <c r="B37" s="16" t="s">
        <v>33</v>
      </c>
      <c r="C37" s="17">
        <v>0</v>
      </c>
      <c r="D37" s="23">
        <v>0</v>
      </c>
      <c r="E37" s="28">
        <f>Výdaje2528[[#This Row],[Předpoklad]]-Výdaje2528[[#This Row],[Skutečnost]]</f>
        <v>0</v>
      </c>
    </row>
    <row r="38" spans="2:5" x14ac:dyDescent="0.2">
      <c r="B38" s="24" t="s">
        <v>34</v>
      </c>
      <c r="C38" s="25">
        <v>0</v>
      </c>
      <c r="D38" s="23">
        <v>0</v>
      </c>
      <c r="E38" s="27">
        <f>Výdaje2528[[#This Row],[Předpoklad]]-Výdaje2528[[#This Row],[Skutečnost]]</f>
        <v>0</v>
      </c>
    </row>
    <row r="39" spans="2:5" x14ac:dyDescent="0.2">
      <c r="B39" s="16" t="s">
        <v>35</v>
      </c>
      <c r="C39" s="17">
        <v>0</v>
      </c>
      <c r="D39" s="23">
        <v>0</v>
      </c>
      <c r="E39" s="28">
        <f>Výdaje2528[[#This Row],[Předpoklad]]-Výdaje2528[[#This Row],[Skutečnost]]</f>
        <v>0</v>
      </c>
    </row>
    <row r="40" spans="2:5" x14ac:dyDescent="0.2">
      <c r="B40" s="24" t="s">
        <v>23</v>
      </c>
      <c r="C40" s="25">
        <v>0</v>
      </c>
      <c r="D40" s="23">
        <v>0</v>
      </c>
      <c r="E40" s="27">
        <f>Výdaje2528[[#This Row],[Předpoklad]]-Výdaje2528[[#This Row],[Skutečnost]]</f>
        <v>0</v>
      </c>
    </row>
    <row r="41" spans="2:5" x14ac:dyDescent="0.2">
      <c r="B41" s="16" t="s">
        <v>36</v>
      </c>
      <c r="C41" s="17">
        <v>0</v>
      </c>
      <c r="D41" s="23">
        <v>0</v>
      </c>
      <c r="E41" s="28">
        <f>Výdaje2528[[#This Row],[Předpoklad]]-Výdaje2528[[#This Row],[Skutečnost]]</f>
        <v>0</v>
      </c>
    </row>
    <row r="42" spans="2:5" x14ac:dyDescent="0.2">
      <c r="B42" s="24" t="s">
        <v>15</v>
      </c>
      <c r="C42" s="25">
        <v>0</v>
      </c>
      <c r="D42" s="23">
        <v>0</v>
      </c>
      <c r="E42" s="27">
        <f>Výdaje2528[[#This Row],[Předpoklad]]-Výdaje2528[[#This Row],[Skutečnost]]</f>
        <v>0</v>
      </c>
    </row>
    <row r="43" spans="2:5" x14ac:dyDescent="0.2">
      <c r="B43" s="16" t="s">
        <v>37</v>
      </c>
      <c r="C43" s="17">
        <v>0</v>
      </c>
      <c r="D43" s="23">
        <v>0</v>
      </c>
      <c r="E43" s="28">
        <f>Výdaje2528[[#This Row],[Předpoklad]]-Výdaje2528[[#This Row],[Skutečnost]]</f>
        <v>0</v>
      </c>
    </row>
    <row r="44" spans="2:5" x14ac:dyDescent="0.2">
      <c r="B44" s="24" t="s">
        <v>38</v>
      </c>
      <c r="C44" s="25">
        <v>0</v>
      </c>
      <c r="D44" s="25">
        <v>0</v>
      </c>
      <c r="E44" s="27">
        <f>Výdaje2528[[#This Row],[Předpoklad]]-Výdaje2528[[#This Row],[Skutečnost]]</f>
        <v>0</v>
      </c>
    </row>
    <row r="45" spans="2:5" x14ac:dyDescent="0.2">
      <c r="B45" s="16" t="s">
        <v>12</v>
      </c>
      <c r="C45" s="17">
        <v>0</v>
      </c>
      <c r="D45" s="17">
        <v>0</v>
      </c>
      <c r="E45" s="28">
        <f>Výdaje2528[[#This Row],[Předpoklad]]-Výdaje2528[[#This Row],[Skutečnost]]</f>
        <v>0</v>
      </c>
    </row>
    <row r="46" spans="2:5" x14ac:dyDescent="0.2">
      <c r="B46" s="24" t="s">
        <v>13</v>
      </c>
      <c r="C46" s="25">
        <v>0</v>
      </c>
      <c r="D46" s="25">
        <v>0</v>
      </c>
      <c r="E46" s="27">
        <f>Výdaje2528[[#This Row],[Předpoklad]]-Výdaje2528[[#This Row],[Skutečnost]]</f>
        <v>0</v>
      </c>
    </row>
    <row r="47" spans="2:5" x14ac:dyDescent="0.2">
      <c r="B47" s="16" t="s">
        <v>39</v>
      </c>
      <c r="C47" s="17">
        <v>0</v>
      </c>
      <c r="D47" s="17">
        <v>0</v>
      </c>
      <c r="E47" s="28">
        <f>Výdaje2528[[#This Row],[Předpoklad]]-Výdaje2528[[#This Row],[Skutečnost]]</f>
        <v>0</v>
      </c>
    </row>
    <row r="48" spans="2:5" x14ac:dyDescent="0.2">
      <c r="B48" s="24" t="s">
        <v>40</v>
      </c>
      <c r="C48" s="25">
        <v>0</v>
      </c>
      <c r="D48" s="25">
        <v>0</v>
      </c>
      <c r="E48" s="27">
        <f>Výdaje2528[[#This Row],[Předpoklad]]-Výdaje2528[[#This Row],[Skutečnost]]</f>
        <v>0</v>
      </c>
    </row>
    <row r="49" spans="2:5" x14ac:dyDescent="0.2">
      <c r="B49" s="16" t="s">
        <v>41</v>
      </c>
      <c r="C49" s="17">
        <v>0</v>
      </c>
      <c r="D49" s="17">
        <v>0</v>
      </c>
      <c r="E49" s="28">
        <f>Výdaje2528[[#This Row],[Předpoklad]]-Výdaje2528[[#This Row],[Skutečnost]]</f>
        <v>0</v>
      </c>
    </row>
    <row r="50" spans="2:5" x14ac:dyDescent="0.2">
      <c r="B50" s="24" t="s">
        <v>42</v>
      </c>
      <c r="C50" s="25">
        <v>0</v>
      </c>
      <c r="D50" s="25">
        <v>0</v>
      </c>
      <c r="E50" s="27">
        <f>Výdaje2528[[#This Row],[Předpoklad]]-Výdaje2528[[#This Row],[Skutečnost]]</f>
        <v>0</v>
      </c>
    </row>
    <row r="51" spans="2:5" x14ac:dyDescent="0.2">
      <c r="B51" s="16" t="s">
        <v>43</v>
      </c>
      <c r="C51" s="17">
        <v>0</v>
      </c>
      <c r="D51" s="17">
        <v>0</v>
      </c>
      <c r="E51" s="28">
        <f>Výdaje2528[[#This Row],[Předpoklad]]-Výdaje2528[[#This Row],[Skutečnost]]</f>
        <v>0</v>
      </c>
    </row>
    <row r="52" spans="2:5" x14ac:dyDescent="0.2">
      <c r="B52" s="24" t="s">
        <v>44</v>
      </c>
      <c r="C52" s="25">
        <v>0</v>
      </c>
      <c r="D52" s="25">
        <v>0</v>
      </c>
      <c r="E52" s="27">
        <f>Výdaje2528[[#This Row],[Předpoklad]]-Výdaje2528[[#This Row],[Skutečnost]]</f>
        <v>0</v>
      </c>
    </row>
    <row r="53" spans="2:5" x14ac:dyDescent="0.2">
      <c r="B53" s="16" t="s">
        <v>45</v>
      </c>
      <c r="C53" s="17">
        <v>0</v>
      </c>
      <c r="D53" s="17">
        <v>0</v>
      </c>
      <c r="E53" s="28">
        <f>Výdaje2528[[#This Row],[Předpoklad]]-Výdaje2528[[#This Row],[Skutečnost]]</f>
        <v>0</v>
      </c>
    </row>
    <row r="54" spans="2:5" x14ac:dyDescent="0.2">
      <c r="B54" s="24" t="s">
        <v>46</v>
      </c>
      <c r="C54" s="25">
        <v>0</v>
      </c>
      <c r="D54" s="25">
        <v>0</v>
      </c>
      <c r="E54" s="27">
        <f>Výdaje2528[[#This Row],[Předpoklad]]-Výdaje2528[[#This Row],[Skutečnost]]</f>
        <v>0</v>
      </c>
    </row>
    <row r="55" spans="2:5" x14ac:dyDescent="0.2">
      <c r="B55" s="16" t="s">
        <v>47</v>
      </c>
      <c r="C55" s="17">
        <v>0</v>
      </c>
      <c r="D55" s="17">
        <v>0</v>
      </c>
      <c r="E55" s="28">
        <f>Výdaje2528[[#This Row],[Předpoklad]]-Výdaje2528[[#This Row],[Skutečnost]]</f>
        <v>0</v>
      </c>
    </row>
    <row r="56" spans="2:5" x14ac:dyDescent="0.2">
      <c r="B56" s="24" t="s">
        <v>48</v>
      </c>
      <c r="C56" s="25">
        <v>0</v>
      </c>
      <c r="D56" s="25">
        <v>0</v>
      </c>
      <c r="E56" s="27">
        <f>Výdaje2528[[#This Row],[Předpoklad]]-Výdaje2528[[#This Row],[Skutečnost]]</f>
        <v>0</v>
      </c>
    </row>
    <row r="57" spans="2:5" x14ac:dyDescent="0.2">
      <c r="B57" s="16" t="s">
        <v>49</v>
      </c>
      <c r="C57" s="17">
        <v>0</v>
      </c>
      <c r="D57" s="17">
        <v>0</v>
      </c>
      <c r="E57" s="28">
        <f>Výdaje2528[[#This Row],[Předpoklad]]-Výdaje2528[[#This Row],[Skutečnost]]</f>
        <v>0</v>
      </c>
    </row>
    <row r="58" spans="2:5" x14ac:dyDescent="0.2">
      <c r="B58" s="24" t="s">
        <v>50</v>
      </c>
      <c r="C58" s="25">
        <v>0</v>
      </c>
      <c r="D58" s="25">
        <v>0</v>
      </c>
      <c r="E58" s="27">
        <f>Výdaje2528[[#This Row],[Předpoklad]]-Výdaje2528[[#This Row],[Skutečnost]]</f>
        <v>0</v>
      </c>
    </row>
    <row r="59" spans="2:5" x14ac:dyDescent="0.2">
      <c r="B59" s="16" t="s">
        <v>51</v>
      </c>
      <c r="C59" s="17">
        <v>0</v>
      </c>
      <c r="D59" s="17">
        <v>0</v>
      </c>
      <c r="E59" s="28">
        <f>Výdaje2528[[#This Row],[Předpoklad]]-Výdaje2528[[#This Row],[Skutečnost]]</f>
        <v>0</v>
      </c>
    </row>
    <row r="60" spans="2:5" x14ac:dyDescent="0.2">
      <c r="B60" s="24" t="s">
        <v>52</v>
      </c>
      <c r="C60" s="25">
        <v>0</v>
      </c>
      <c r="D60" s="25">
        <v>0</v>
      </c>
      <c r="E60" s="27">
        <f>Výdaje2528[[#This Row],[Předpoklad]]-Výdaje2528[[#This Row],[Skutečnost]]</f>
        <v>0</v>
      </c>
    </row>
    <row r="61" spans="2:5" x14ac:dyDescent="0.2">
      <c r="B61" s="16" t="s">
        <v>53</v>
      </c>
      <c r="C61" s="17">
        <v>0</v>
      </c>
      <c r="D61" s="17">
        <v>0</v>
      </c>
      <c r="E61" s="28">
        <f>Výdaje2528[[#This Row],[Předpoklad]]-Výdaje2528[[#This Row],[Skutečnost]]</f>
        <v>0</v>
      </c>
    </row>
    <row r="62" spans="2:5" x14ac:dyDescent="0.2">
      <c r="B62" s="24" t="s">
        <v>54</v>
      </c>
      <c r="C62" s="25">
        <v>0</v>
      </c>
      <c r="D62" s="25">
        <v>0</v>
      </c>
      <c r="E62" s="27">
        <f>Výdaje2528[[#This Row],[Předpoklad]]-Výdaje2528[[#This Row],[Skutečnost]]</f>
        <v>0</v>
      </c>
    </row>
    <row r="63" spans="2:5" x14ac:dyDescent="0.2">
      <c r="B63" s="16" t="s">
        <v>16</v>
      </c>
      <c r="C63" s="17">
        <v>0</v>
      </c>
      <c r="D63" s="17">
        <v>0</v>
      </c>
      <c r="E63" s="28">
        <f>Výdaje2528[[#This Row],[Předpoklad]]-Výdaje2528[[#This Row],[Skutečnost]]</f>
        <v>0</v>
      </c>
    </row>
    <row r="64" spans="2:5" x14ac:dyDescent="0.2">
      <c r="B64" s="24" t="s">
        <v>16</v>
      </c>
      <c r="C64" s="25">
        <v>0</v>
      </c>
      <c r="D64" s="25">
        <v>0</v>
      </c>
      <c r="E64" s="27">
        <f>Výdaje2528[[#This Row],[Předpoklad]]-Výdaje2528[[#This Row],[Skutečnost]]</f>
        <v>0</v>
      </c>
    </row>
    <row r="65" spans="2:5" x14ac:dyDescent="0.2">
      <c r="B65" s="18" t="s">
        <v>16</v>
      </c>
      <c r="C65" s="19">
        <v>0</v>
      </c>
      <c r="D65" s="19">
        <v>0</v>
      </c>
      <c r="E65" s="29">
        <f>Výdaje2528[[#This Row],[Předpoklad]]-Výdaje2528[[#This Row],[Skutečnost]]</f>
        <v>0</v>
      </c>
    </row>
    <row r="66" spans="2:5" x14ac:dyDescent="0.2">
      <c r="B66" s="6" t="s">
        <v>17</v>
      </c>
      <c r="C66" s="5">
        <f>SUBTOTAL(109,Výdaje2528[Předpoklad])</f>
        <v>0</v>
      </c>
      <c r="D66" s="5">
        <f>SUBTOTAL(109,Výdaje2528[Skutečnost])</f>
        <v>0</v>
      </c>
      <c r="E66" s="5">
        <f>SUBTOTAL(109,Výdaje2528[Rozdíl])</f>
        <v>0</v>
      </c>
    </row>
  </sheetData>
  <sheetProtection algorithmName="SHA-512" hashValue="nk4XdHxQfxQ3tEwrREAkwWAygORQ7TYvcHeNYAeLw1Fvqg+0VeagJXe1p+3GUxJePh1icfWRkiZtwJfOkPfKyw==" saltValue="3KYVfl8RE/uGbDXRTK+RDQ==" spinCount="100000" sheet="1" objects="1" scenarios="1" insertRows="0" selectLockedCells="1"/>
  <printOptions horizontalCentered="1"/>
  <pageMargins left="0.4" right="0.4" top="0.4" bottom="0.4" header="0.25" footer="0.25"/>
  <pageSetup paperSize="9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FF1792E-1F1F-E745-A461-E4856E85331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E16:E17</xm:sqref>
        </x14:conditionalFormatting>
        <x14:conditionalFormatting xmlns:xm="http://schemas.microsoft.com/office/excel/2006/main">
          <x14:cfRule type="iconSet" priority="2" id="{CED698E7-3A3C-0B4E-856B-5CC295A0AB24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E27:E65</xm:sqref>
        </x14:conditionalFormatting>
        <x14:conditionalFormatting xmlns:xm="http://schemas.microsoft.com/office/excel/2006/main">
          <x14:cfRule type="iconSet" priority="3" id="{298803ED-9566-F348-89E5-BAEC14B9459C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1"/>
              <x14:cfIcon iconSet="3TrafficLights1" iconId="2"/>
            </x14:iconSet>
          </x14:cfRule>
          <xm:sqref>E21:E23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TM10000054</Templat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12</vt:i4>
      </vt:variant>
    </vt:vector>
  </HeadingPairs>
  <TitlesOfParts>
    <vt:vector size="25" baseType="lpstr"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  <vt:lpstr>DATA GRAFU</vt:lpstr>
      <vt:lpstr>březen!Oblast_tisku</vt:lpstr>
      <vt:lpstr>červen!Oblast_tisku</vt:lpstr>
      <vt:lpstr>červenec!Oblast_tisku</vt:lpstr>
      <vt:lpstr>duben!Oblast_tisku</vt:lpstr>
      <vt:lpstr>květen!Oblast_tisku</vt:lpstr>
      <vt:lpstr>leden!Oblast_tisku</vt:lpstr>
      <vt:lpstr>listopad!Oblast_tisku</vt:lpstr>
      <vt:lpstr>prosinec!Oblast_tisku</vt:lpstr>
      <vt:lpstr>říjen!Oblast_tisku</vt:lpstr>
      <vt:lpstr>srpen!Oblast_tisku</vt:lpstr>
      <vt:lpstr>únor!Oblast_tisku</vt:lpstr>
      <vt:lpstr>září!Oblast_tisku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Vitamvas</dc:creator>
  <cp:lastModifiedBy>Michal Vitamvas</cp:lastModifiedBy>
  <dcterms:created xsi:type="dcterms:W3CDTF">2014-12-15T22:25:13Z</dcterms:created>
  <dcterms:modified xsi:type="dcterms:W3CDTF">2022-01-20T08:56:05Z</dcterms:modified>
</cp:coreProperties>
</file>